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codeName="{B6124F1A-AFFB-F854-7757-9A1D4C6FC43C}"/>
  <workbookPr filterPrivacy="1" codeName="ThisWorkbook" defaultThemeVersion="124226"/>
  <xr:revisionPtr revIDLastSave="0" documentId="8_{D98ED6C7-973B-4880-8CA1-406714841421}" xr6:coauthVersionLast="47" xr6:coauthVersionMax="47" xr10:uidLastSave="{00000000-0000-0000-0000-000000000000}"/>
  <bookViews>
    <workbookView xWindow="-120" yWindow="-120" windowWidth="29040" windowHeight="15720" tabRatio="848" xr2:uid="{00000000-000D-0000-FFFF-FFFF00000000}"/>
  </bookViews>
  <sheets>
    <sheet name="入力" sheetId="26" r:id="rId1"/>
    <sheet name="サマリ" sheetId="14" r:id="rId2"/>
    <sheet name="→" sheetId="27" r:id="rId3"/>
    <sheet name="親1" sheetId="20" r:id="rId4"/>
    <sheet name="親2" sheetId="21" r:id="rId5"/>
    <sheet name="子1" sheetId="22" r:id="rId6"/>
    <sheet name="子2" sheetId="23" r:id="rId7"/>
    <sheet name="子3" sheetId="24" r:id="rId8"/>
    <sheet name="子4" sheetId="25" r:id="rId9"/>
    <sheet name="住居" sheetId="35" r:id="rId10"/>
    <sheet name="車_大物家電" sheetId="36" r:id="rId11"/>
    <sheet name="←" sheetId="28" r:id="rId12"/>
    <sheet name="賃金カーブ" sheetId="42" r:id="rId13"/>
    <sheet name="学費計算" sheetId="37" r:id="rId14"/>
    <sheet name="住居計算" sheetId="38" r:id="rId15"/>
    <sheet name="小学生～高校" sheetId="31" r:id="rId16"/>
    <sheet name="大学" sheetId="32" r:id="rId17"/>
    <sheet name="大学学費" sheetId="33" r:id="rId18"/>
    <sheet name="年金の税金" sheetId="40" r:id="rId19"/>
    <sheet name="年収と手取り" sheetId="41" r:id="rId20"/>
    <sheet name="変動費" sheetId="30"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23" i="26" l="1"/>
  <c r="AU18" i="26"/>
  <c r="AY15" i="26"/>
  <c r="AY14" i="26"/>
  <c r="AY13" i="26"/>
  <c r="AY12" i="26"/>
  <c r="AY33" i="26"/>
  <c r="AY32" i="26"/>
  <c r="AY31" i="26"/>
  <c r="AX19" i="26"/>
  <c r="AY9" i="26"/>
  <c r="AY8" i="26"/>
  <c r="AU19" i="26"/>
  <c r="AU13" i="26"/>
  <c r="AU12" i="26"/>
  <c r="AY22" i="26"/>
  <c r="AU22" i="26"/>
  <c r="AU11" i="26"/>
  <c r="AU8" i="26"/>
  <c r="I18" i="26"/>
  <c r="I19" i="26" s="1"/>
  <c r="I20" i="26" s="1"/>
  <c r="I21" i="26" s="1"/>
  <c r="D18" i="26"/>
  <c r="D19" i="26" s="1"/>
  <c r="D20" i="26" s="1"/>
  <c r="D21" i="26" s="1"/>
  <c r="DH70" i="26"/>
  <c r="CX70" i="26"/>
  <c r="CY70" i="26" s="1"/>
  <c r="CZ70" i="26" s="1"/>
  <c r="DA70" i="26" s="1"/>
  <c r="DB70" i="26" s="1"/>
  <c r="W16" i="26"/>
  <c r="X15" i="26" s="1"/>
  <c r="AU31" i="26" l="1"/>
  <c r="DI70" i="26"/>
  <c r="AE1" i="25"/>
  <c r="AE1" i="24"/>
  <c r="AE1" i="23"/>
  <c r="V1" i="21"/>
  <c r="W1" i="20"/>
  <c r="V1" i="20"/>
  <c r="Q1" i="20"/>
  <c r="P1" i="20"/>
  <c r="O1" i="20"/>
  <c r="N1" i="20"/>
  <c r="M1" i="20"/>
  <c r="DJ70" i="26" l="1"/>
  <c r="P33" i="42"/>
  <c r="O33" i="42"/>
  <c r="S33" i="42"/>
  <c r="L32" i="42"/>
  <c r="M32" i="42" s="1"/>
  <c r="L31" i="42"/>
  <c r="M31" i="42" s="1"/>
  <c r="L30" i="42"/>
  <c r="S38" i="42" s="1"/>
  <c r="S39" i="42" s="1"/>
  <c r="S40" i="42" s="1"/>
  <c r="S41" i="42" s="1"/>
  <c r="S42" i="42" s="1"/>
  <c r="L29" i="42"/>
  <c r="M30" i="42" s="1"/>
  <c r="L28" i="42"/>
  <c r="S28" i="42" s="1"/>
  <c r="L27" i="42"/>
  <c r="L26" i="42"/>
  <c r="S18" i="42" s="1"/>
  <c r="L25" i="42"/>
  <c r="M26" i="42" s="1"/>
  <c r="L24" i="42"/>
  <c r="S8" i="42" s="1"/>
  <c r="N33" i="42"/>
  <c r="S34" i="42" l="1"/>
  <c r="S35" i="42" s="1"/>
  <c r="S36" i="42" s="1"/>
  <c r="S37" i="42" s="1"/>
  <c r="S13" i="42"/>
  <c r="S14" i="42" s="1"/>
  <c r="S15" i="42" s="1"/>
  <c r="S16" i="42" s="1"/>
  <c r="S17" i="42" s="1"/>
  <c r="M27" i="42"/>
  <c r="S19" i="42" s="1"/>
  <c r="S20" i="42" s="1"/>
  <c r="S21" i="42" s="1"/>
  <c r="S22" i="42" s="1"/>
  <c r="O25" i="42"/>
  <c r="P31" i="42"/>
  <c r="M29" i="42"/>
  <c r="S29" i="42" s="1"/>
  <c r="S30" i="42" s="1"/>
  <c r="S31" i="42" s="1"/>
  <c r="S32" i="42" s="1"/>
  <c r="S23" i="42"/>
  <c r="S43" i="42"/>
  <c r="S44" i="42" s="1"/>
  <c r="S45" i="42" s="1"/>
  <c r="S46" i="42" s="1"/>
  <c r="S47" i="42" s="1"/>
  <c r="S48" i="42" s="1"/>
  <c r="S49" i="42" s="1"/>
  <c r="S50" i="42" s="1"/>
  <c r="S51" i="42" s="1"/>
  <c r="S52" i="42" s="1"/>
  <c r="S53" i="42" s="1"/>
  <c r="S54" i="42" s="1"/>
  <c r="DK70" i="26"/>
  <c r="P26" i="42"/>
  <c r="P29" i="42"/>
  <c r="P25" i="42"/>
  <c r="P27" i="42"/>
  <c r="P28" i="42"/>
  <c r="P30" i="42"/>
  <c r="P32" i="42"/>
  <c r="P24" i="42"/>
  <c r="U46" i="42" s="1"/>
  <c r="S55" i="42"/>
  <c r="O26" i="42"/>
  <c r="O27" i="42"/>
  <c r="O30" i="42"/>
  <c r="O28" i="42"/>
  <c r="O29" i="42"/>
  <c r="O32" i="42"/>
  <c r="O31" i="42"/>
  <c r="O24" i="42"/>
  <c r="T54" i="42" s="1"/>
  <c r="M28" i="42"/>
  <c r="M25" i="42"/>
  <c r="S9" i="42" s="1"/>
  <c r="S10" i="42" s="1"/>
  <c r="S11" i="42" s="1"/>
  <c r="S12" i="42" s="1"/>
  <c r="AH12" i="26"/>
  <c r="Q1" i="21" s="1"/>
  <c r="AG12" i="26"/>
  <c r="P1" i="21" s="1"/>
  <c r="AF12" i="26"/>
  <c r="O1" i="21" s="1"/>
  <c r="S24" i="42" l="1"/>
  <c r="S25" i="42" s="1"/>
  <c r="S26" i="42" s="1"/>
  <c r="S27" i="42" s="1"/>
  <c r="DL70" i="26"/>
  <c r="U20" i="42"/>
  <c r="U10" i="42"/>
  <c r="U11" i="42"/>
  <c r="U32" i="42"/>
  <c r="U45" i="42"/>
  <c r="U49" i="42"/>
  <c r="U28" i="42"/>
  <c r="U53" i="42"/>
  <c r="J22" i="26" s="1"/>
  <c r="U15" i="42"/>
  <c r="U41" i="42"/>
  <c r="U29" i="42"/>
  <c r="U12" i="42"/>
  <c r="U51" i="42"/>
  <c r="U9" i="42"/>
  <c r="U35" i="42"/>
  <c r="U50" i="42"/>
  <c r="U24" i="42"/>
  <c r="U37" i="42"/>
  <c r="U34" i="42"/>
  <c r="U16" i="42"/>
  <c r="U38" i="42"/>
  <c r="U25" i="42"/>
  <c r="U18" i="42"/>
  <c r="U8" i="42"/>
  <c r="U30" i="42"/>
  <c r="U21" i="42"/>
  <c r="U43" i="42"/>
  <c r="U33" i="42"/>
  <c r="U47" i="42"/>
  <c r="U22" i="42"/>
  <c r="U13" i="42"/>
  <c r="U52" i="42"/>
  <c r="U17" i="42"/>
  <c r="U39" i="42"/>
  <c r="U14" i="42"/>
  <c r="U42" i="42"/>
  <c r="U44" i="42"/>
  <c r="U27" i="42"/>
  <c r="U48" i="42"/>
  <c r="U31" i="42"/>
  <c r="U54" i="42"/>
  <c r="U26" i="42"/>
  <c r="U36" i="42"/>
  <c r="U19" i="42"/>
  <c r="U40" i="42"/>
  <c r="U23" i="42"/>
  <c r="T55" i="42"/>
  <c r="U55" i="42"/>
  <c r="S56" i="42"/>
  <c r="T46" i="42"/>
  <c r="T38" i="42"/>
  <c r="T30" i="42"/>
  <c r="T22" i="42"/>
  <c r="T14" i="42"/>
  <c r="T53" i="42"/>
  <c r="T45" i="42"/>
  <c r="T37" i="42"/>
  <c r="T29" i="42"/>
  <c r="T21" i="42"/>
  <c r="T13" i="42"/>
  <c r="T52" i="42"/>
  <c r="T44" i="42"/>
  <c r="T36" i="42"/>
  <c r="T28" i="42"/>
  <c r="T20" i="42"/>
  <c r="T12" i="42"/>
  <c r="T48" i="42"/>
  <c r="T40" i="42"/>
  <c r="T32" i="42"/>
  <c r="T24" i="42"/>
  <c r="T16" i="42"/>
  <c r="T8" i="42"/>
  <c r="T31" i="42"/>
  <c r="T51" i="42"/>
  <c r="T43" i="42"/>
  <c r="T35" i="42"/>
  <c r="T27" i="42"/>
  <c r="T19" i="42"/>
  <c r="T11" i="42"/>
  <c r="T50" i="42"/>
  <c r="T42" i="42"/>
  <c r="T34" i="42"/>
  <c r="T26" i="42"/>
  <c r="T18" i="42"/>
  <c r="T10" i="42"/>
  <c r="T49" i="42"/>
  <c r="T41" i="42"/>
  <c r="T33" i="42"/>
  <c r="T25" i="42"/>
  <c r="T17" i="42"/>
  <c r="T9" i="42"/>
  <c r="T47" i="42"/>
  <c r="T39" i="42"/>
  <c r="T23" i="42"/>
  <c r="T15" i="42"/>
  <c r="CP47" i="26"/>
  <c r="CK47" i="26"/>
  <c r="CF47" i="26"/>
  <c r="J17" i="26" l="1"/>
  <c r="J19" i="26"/>
  <c r="J20" i="26"/>
  <c r="J18" i="26"/>
  <c r="J21" i="26"/>
  <c r="E22" i="26"/>
  <c r="E18" i="26"/>
  <c r="E19" i="26"/>
  <c r="E17" i="26"/>
  <c r="E21" i="26"/>
  <c r="E20" i="26"/>
  <c r="S57" i="42"/>
  <c r="T56" i="42"/>
  <c r="U56" i="42"/>
  <c r="U57" i="42" l="1"/>
  <c r="S58" i="42"/>
  <c r="T57" i="42"/>
  <c r="BH65" i="26"/>
  <c r="BG65" i="26"/>
  <c r="BH66" i="26"/>
  <c r="BG66" i="26"/>
  <c r="BI55" i="26"/>
  <c r="Q8" i="37"/>
  <c r="P8" i="37"/>
  <c r="M8" i="37"/>
  <c r="L8" i="37"/>
  <c r="I8" i="37"/>
  <c r="H8" i="37"/>
  <c r="E8" i="37"/>
  <c r="D8" i="37"/>
  <c r="G23" i="37"/>
  <c r="T58" i="42" l="1"/>
  <c r="S59" i="42"/>
  <c r="U58" i="42"/>
  <c r="BI65" i="26"/>
  <c r="BI66" i="26"/>
  <c r="E1" i="37"/>
  <c r="F1" i="37" s="1"/>
  <c r="AC8" i="37"/>
  <c r="AB8" i="37"/>
  <c r="AA8" i="37"/>
  <c r="Z8" i="37"/>
  <c r="AD10" i="37"/>
  <c r="AD9" i="37"/>
  <c r="AD8" i="37"/>
  <c r="AC5" i="37"/>
  <c r="AB5" i="37"/>
  <c r="AA5" i="37"/>
  <c r="Z5" i="37"/>
  <c r="Q6" i="37"/>
  <c r="P6" i="37"/>
  <c r="Q5" i="37"/>
  <c r="P5" i="37"/>
  <c r="M6" i="37"/>
  <c r="L6" i="37"/>
  <c r="M5" i="37"/>
  <c r="L5" i="37"/>
  <c r="I6" i="37"/>
  <c r="H6" i="37"/>
  <c r="I5" i="37"/>
  <c r="H5" i="37"/>
  <c r="E6" i="37"/>
  <c r="D6" i="37"/>
  <c r="E5" i="37"/>
  <c r="D5" i="37"/>
  <c r="AD22" i="37"/>
  <c r="AD21" i="37"/>
  <c r="AD20" i="37"/>
  <c r="AD19" i="37"/>
  <c r="AD18" i="37"/>
  <c r="AD17" i="37"/>
  <c r="AD16" i="37"/>
  <c r="AD15" i="37"/>
  <c r="AD14" i="37"/>
  <c r="AD13" i="37"/>
  <c r="AD12" i="37"/>
  <c r="AD11" i="37"/>
  <c r="Z6" i="37" l="1"/>
  <c r="AC6" i="37"/>
  <c r="Y5" i="37"/>
  <c r="AB6" i="37"/>
  <c r="AA6" i="37"/>
  <c r="U59" i="42"/>
  <c r="T59" i="42"/>
  <c r="S60" i="42"/>
  <c r="G1" i="37"/>
  <c r="S38" i="26"/>
  <c r="R38" i="26"/>
  <c r="Q38" i="26"/>
  <c r="P38" i="26"/>
  <c r="AK11" i="26"/>
  <c r="C6" i="25"/>
  <c r="C6" i="24"/>
  <c r="C6" i="23"/>
  <c r="C6" i="22"/>
  <c r="AL13" i="26"/>
  <c r="AL14" i="26" s="1"/>
  <c r="AJ13" i="26"/>
  <c r="AI13" i="26"/>
  <c r="AH13" i="26"/>
  <c r="AG13" i="26"/>
  <c r="AF13" i="26"/>
  <c r="AE13" i="26"/>
  <c r="AD13" i="26"/>
  <c r="AJ12" i="26"/>
  <c r="W1" i="21" s="1"/>
  <c r="AE12" i="26"/>
  <c r="N1" i="21" s="1"/>
  <c r="AD12" i="26"/>
  <c r="M1" i="21" s="1"/>
  <c r="Z15" i="26"/>
  <c r="Z14" i="26"/>
  <c r="AD30" i="26"/>
  <c r="Q36" i="26"/>
  <c r="R36" i="26" s="1"/>
  <c r="S36" i="26" s="1"/>
  <c r="CW76" i="26" l="1"/>
  <c r="DG76" i="26"/>
  <c r="CW75" i="26"/>
  <c r="DG75" i="26"/>
  <c r="AB7" i="37"/>
  <c r="AC7" i="37"/>
  <c r="Y7" i="37" s="1"/>
  <c r="Y6" i="37"/>
  <c r="Z7" i="37"/>
  <c r="AA7" i="37"/>
  <c r="T60" i="42"/>
  <c r="U60" i="42"/>
  <c r="S61" i="42"/>
  <c r="H1" i="37"/>
  <c r="I1" i="37" s="1"/>
  <c r="J1" i="37" s="1"/>
  <c r="AY7" i="22"/>
  <c r="W6" i="22"/>
  <c r="N6" i="23"/>
  <c r="AK12" i="26"/>
  <c r="W6" i="25"/>
  <c r="P6" i="23"/>
  <c r="W6" i="23"/>
  <c r="Q6" i="23"/>
  <c r="O6" i="23"/>
  <c r="M6" i="23"/>
  <c r="W6" i="24"/>
  <c r="Q6" i="25"/>
  <c r="P6" i="25"/>
  <c r="N6" i="25"/>
  <c r="M6" i="25"/>
  <c r="O6" i="25"/>
  <c r="AK13" i="26"/>
  <c r="U61" i="42" l="1"/>
  <c r="T61" i="42"/>
  <c r="S62" i="42"/>
  <c r="K1" i="37"/>
  <c r="D15" i="40"/>
  <c r="D14" i="40"/>
  <c r="G7" i="40"/>
  <c r="F7" i="40"/>
  <c r="G6" i="40"/>
  <c r="F6" i="40"/>
  <c r="T62" i="42" l="1"/>
  <c r="S63" i="42"/>
  <c r="U62" i="42"/>
  <c r="L1" i="37"/>
  <c r="M1" i="37" s="1"/>
  <c r="N1" i="37" s="1"/>
  <c r="O1" i="37" s="1"/>
  <c r="P1" i="37" s="1"/>
  <c r="Q1" i="37" s="1"/>
  <c r="R1" i="37" s="1"/>
  <c r="S1" i="37" s="1"/>
  <c r="E15" i="40"/>
  <c r="E14" i="40"/>
  <c r="D16" i="40"/>
  <c r="E16" i="40"/>
  <c r="T63" i="42" l="1"/>
  <c r="U63" i="42"/>
  <c r="S64" i="42"/>
  <c r="E17" i="40"/>
  <c r="D17" i="40"/>
  <c r="S65" i="42" l="1"/>
  <c r="T64" i="42"/>
  <c r="U64" i="42"/>
  <c r="Q35" i="26"/>
  <c r="R35" i="26" s="1"/>
  <c r="S35" i="26" s="1"/>
  <c r="AC15" i="26"/>
  <c r="E23" i="30"/>
  <c r="F27" i="30"/>
  <c r="F26" i="30"/>
  <c r="F25" i="30"/>
  <c r="F24" i="30"/>
  <c r="F23" i="30"/>
  <c r="E27" i="30"/>
  <c r="E26" i="30"/>
  <c r="E25" i="30"/>
  <c r="E24" i="30"/>
  <c r="D27" i="30"/>
  <c r="D26" i="30"/>
  <c r="D25" i="30"/>
  <c r="D24" i="30"/>
  <c r="D23" i="30"/>
  <c r="Z16" i="26"/>
  <c r="Z13" i="26"/>
  <c r="Z12" i="26"/>
  <c r="AE1" i="22"/>
  <c r="AE1" i="21"/>
  <c r="AE1" i="20"/>
  <c r="A6" i="36"/>
  <c r="A7" i="36" s="1"/>
  <c r="A8" i="36" s="1"/>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N7" i="38"/>
  <c r="O7" i="38"/>
  <c r="Y7" i="38"/>
  <c r="Z7" i="38"/>
  <c r="U65" i="42" l="1"/>
  <c r="S66" i="42"/>
  <c r="T65" i="42"/>
  <c r="Z5" i="38"/>
  <c r="AN3" i="14"/>
  <c r="AO2" i="14"/>
  <c r="V1" i="14"/>
  <c r="AI14" i="26" s="1"/>
  <c r="AK25" i="26"/>
  <c r="AL25" i="26" s="1"/>
  <c r="AK24" i="26"/>
  <c r="AL24" i="26" s="1"/>
  <c r="AO5" i="21"/>
  <c r="AN5" i="21"/>
  <c r="T66" i="42" l="1"/>
  <c r="S67" i="42"/>
  <c r="U66" i="42"/>
  <c r="AM5" i="21"/>
  <c r="U67" i="42" l="1"/>
  <c r="S68" i="42"/>
  <c r="T67" i="42"/>
  <c r="AO5" i="20"/>
  <c r="AO5" i="14" s="1"/>
  <c r="AN5" i="20"/>
  <c r="AN5" i="14" s="1"/>
  <c r="AI25" i="26"/>
  <c r="AI24" i="26"/>
  <c r="T68" i="42" l="1"/>
  <c r="U68" i="42"/>
  <c r="S69" i="42"/>
  <c r="AP5" i="14"/>
  <c r="AM5" i="20"/>
  <c r="N19" i="30"/>
  <c r="O19" i="30" s="1"/>
  <c r="N18" i="30"/>
  <c r="O18" i="30" s="1"/>
  <c r="N17" i="30"/>
  <c r="O17" i="30" s="1"/>
  <c r="N16" i="30"/>
  <c r="O16" i="30" s="1"/>
  <c r="N15" i="30"/>
  <c r="O15" i="30" s="1"/>
  <c r="N14" i="30"/>
  <c r="O14" i="30" s="1"/>
  <c r="U69" i="42" l="1"/>
  <c r="T69" i="42"/>
  <c r="S70" i="42"/>
  <c r="AB70" i="14"/>
  <c r="S70" i="14"/>
  <c r="AB69" i="14"/>
  <c r="S69" i="14"/>
  <c r="AB68" i="14"/>
  <c r="S68" i="14"/>
  <c r="AB67" i="14"/>
  <c r="S67" i="14"/>
  <c r="AB66" i="14"/>
  <c r="S66" i="14"/>
  <c r="AB65" i="14"/>
  <c r="S65" i="14"/>
  <c r="AB64" i="14"/>
  <c r="S64" i="14"/>
  <c r="AB63" i="14"/>
  <c r="S63" i="14"/>
  <c r="AB62" i="14"/>
  <c r="S62" i="14"/>
  <c r="AB61" i="14"/>
  <c r="S61" i="14"/>
  <c r="AB60" i="14"/>
  <c r="S60" i="14"/>
  <c r="AB59" i="14"/>
  <c r="S59" i="14"/>
  <c r="AB58" i="14"/>
  <c r="S58" i="14"/>
  <c r="AB57" i="14"/>
  <c r="S57" i="14"/>
  <c r="AB56" i="14"/>
  <c r="S56" i="14"/>
  <c r="AB55" i="14"/>
  <c r="S55" i="14"/>
  <c r="AB54" i="14"/>
  <c r="S54" i="14"/>
  <c r="AB53" i="14"/>
  <c r="S53" i="14"/>
  <c r="AB52" i="14"/>
  <c r="S52" i="14"/>
  <c r="AB51" i="14"/>
  <c r="S51" i="14"/>
  <c r="AB50" i="14"/>
  <c r="S50" i="14"/>
  <c r="AB49" i="14"/>
  <c r="S49" i="14"/>
  <c r="AB48" i="14"/>
  <c r="S48" i="14"/>
  <c r="AB47" i="14"/>
  <c r="S47" i="14"/>
  <c r="AB46" i="14"/>
  <c r="S46" i="14"/>
  <c r="AB45" i="14"/>
  <c r="S45" i="14"/>
  <c r="AB44" i="14"/>
  <c r="S44" i="14"/>
  <c r="AB43" i="14"/>
  <c r="S43" i="14"/>
  <c r="AB42" i="14"/>
  <c r="S42" i="14"/>
  <c r="AB41" i="14"/>
  <c r="S41" i="14"/>
  <c r="AB40" i="14"/>
  <c r="S40" i="14"/>
  <c r="AB39" i="14"/>
  <c r="S39" i="14"/>
  <c r="AB38" i="14"/>
  <c r="S38" i="14"/>
  <c r="AB37" i="14"/>
  <c r="S37" i="14"/>
  <c r="AB36" i="14"/>
  <c r="S36" i="14"/>
  <c r="AB35" i="14"/>
  <c r="S35" i="14"/>
  <c r="AB34" i="14"/>
  <c r="S34" i="14"/>
  <c r="AB33" i="14"/>
  <c r="S33" i="14"/>
  <c r="AB32" i="14"/>
  <c r="S32" i="14"/>
  <c r="AB31" i="14"/>
  <c r="S31" i="14"/>
  <c r="AB30" i="14"/>
  <c r="S30" i="14"/>
  <c r="AB29" i="14"/>
  <c r="S29" i="14"/>
  <c r="AB28" i="14"/>
  <c r="S28" i="14"/>
  <c r="AB27" i="14"/>
  <c r="S27" i="14"/>
  <c r="AB26" i="14"/>
  <c r="S26" i="14"/>
  <c r="AB25" i="14"/>
  <c r="S25" i="14"/>
  <c r="AB24" i="14"/>
  <c r="S24" i="14"/>
  <c r="AB23" i="14"/>
  <c r="S23" i="14"/>
  <c r="AB22" i="14"/>
  <c r="S22" i="14"/>
  <c r="AB21" i="14"/>
  <c r="S21" i="14"/>
  <c r="AB20" i="14"/>
  <c r="S20" i="14"/>
  <c r="AB19" i="14"/>
  <c r="S19" i="14"/>
  <c r="AB18" i="14"/>
  <c r="S18" i="14"/>
  <c r="AB17" i="14"/>
  <c r="S17" i="14"/>
  <c r="AB16" i="14"/>
  <c r="S16" i="14"/>
  <c r="AB15" i="14"/>
  <c r="S15" i="14"/>
  <c r="AB14" i="14"/>
  <c r="S14" i="14"/>
  <c r="AB13" i="14"/>
  <c r="S13" i="14"/>
  <c r="AB12" i="14"/>
  <c r="S12" i="14"/>
  <c r="AB11" i="14"/>
  <c r="S11" i="14"/>
  <c r="AB10" i="14"/>
  <c r="S10" i="14"/>
  <c r="AB9" i="14"/>
  <c r="S9" i="14"/>
  <c r="AB8" i="14"/>
  <c r="S8" i="14"/>
  <c r="AB7" i="14"/>
  <c r="S7" i="14"/>
  <c r="AB6" i="14"/>
  <c r="S6" i="14"/>
  <c r="I8" i="38"/>
  <c r="I9" i="38" s="1"/>
  <c r="H8" i="38"/>
  <c r="H9" i="38" s="1"/>
  <c r="Y23" i="26"/>
  <c r="Y22" i="26"/>
  <c r="T70" i="42" l="1"/>
  <c r="S71" i="42"/>
  <c r="U70" i="42"/>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AS13" i="38"/>
  <c r="T71" i="42" l="1"/>
  <c r="U71" i="42"/>
  <c r="S72" i="42"/>
  <c r="AC24" i="26"/>
  <c r="S73" i="42" l="1"/>
  <c r="T72" i="42"/>
  <c r="U72" i="42"/>
  <c r="AM5" i="14"/>
  <c r="AY52" i="26" s="1"/>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Z11" i="26"/>
  <c r="AE6" i="23"/>
  <c r="AE6" i="25"/>
  <c r="AE6" i="24"/>
  <c r="U73" i="42" l="1"/>
  <c r="S74" i="42"/>
  <c r="T73" i="42"/>
  <c r="AE6" i="22"/>
  <c r="R6" i="21"/>
  <c r="V70" i="20"/>
  <c r="V70" i="14" s="1"/>
  <c r="V69" i="20"/>
  <c r="V69" i="14" s="1"/>
  <c r="V68" i="20"/>
  <c r="V68" i="14" s="1"/>
  <c r="V67" i="20"/>
  <c r="V67" i="14" s="1"/>
  <c r="V66" i="20"/>
  <c r="V66" i="14" s="1"/>
  <c r="V65" i="20"/>
  <c r="V65" i="14" s="1"/>
  <c r="V64" i="20"/>
  <c r="V64" i="14" s="1"/>
  <c r="V63" i="20"/>
  <c r="V63" i="14" s="1"/>
  <c r="V62" i="20"/>
  <c r="V62" i="14" s="1"/>
  <c r="V61" i="20"/>
  <c r="V61" i="14" s="1"/>
  <c r="V60" i="20"/>
  <c r="V60" i="14" s="1"/>
  <c r="V59" i="20"/>
  <c r="V59" i="14" s="1"/>
  <c r="V58" i="20"/>
  <c r="V58" i="14" s="1"/>
  <c r="V57" i="20"/>
  <c r="V57" i="14" s="1"/>
  <c r="V56" i="20"/>
  <c r="V56" i="14" s="1"/>
  <c r="V55" i="20"/>
  <c r="V55" i="14" s="1"/>
  <c r="V54" i="20"/>
  <c r="V54" i="14" s="1"/>
  <c r="V53" i="20"/>
  <c r="V53" i="14" s="1"/>
  <c r="V52" i="20"/>
  <c r="V52" i="14" s="1"/>
  <c r="V51" i="20"/>
  <c r="V51" i="14" s="1"/>
  <c r="V50" i="20"/>
  <c r="V50" i="14" s="1"/>
  <c r="V49" i="20"/>
  <c r="V49" i="14" s="1"/>
  <c r="V48" i="20"/>
  <c r="V48" i="14" s="1"/>
  <c r="V47" i="20"/>
  <c r="V47" i="14" s="1"/>
  <c r="V46" i="20"/>
  <c r="V46" i="14" s="1"/>
  <c r="V45" i="20"/>
  <c r="V45" i="14" s="1"/>
  <c r="V44" i="20"/>
  <c r="V44" i="14" s="1"/>
  <c r="V43" i="20"/>
  <c r="V43" i="14" s="1"/>
  <c r="V42" i="20"/>
  <c r="V42" i="14" s="1"/>
  <c r="V41" i="20"/>
  <c r="V41" i="14" s="1"/>
  <c r="V40" i="20"/>
  <c r="V40" i="14" s="1"/>
  <c r="V39" i="20"/>
  <c r="V39" i="14" s="1"/>
  <c r="V38" i="20"/>
  <c r="V38" i="14" s="1"/>
  <c r="V37" i="20"/>
  <c r="V37" i="14" s="1"/>
  <c r="V36" i="20"/>
  <c r="V36" i="14" s="1"/>
  <c r="V35" i="20"/>
  <c r="V35" i="14" s="1"/>
  <c r="V34" i="20"/>
  <c r="V34" i="14" s="1"/>
  <c r="V33" i="20"/>
  <c r="V33" i="14" s="1"/>
  <c r="V32" i="20"/>
  <c r="V32" i="14" s="1"/>
  <c r="V31" i="20"/>
  <c r="V31" i="14" s="1"/>
  <c r="DB85" i="26" s="1"/>
  <c r="DL85" i="26" s="1"/>
  <c r="V30" i="20"/>
  <c r="V30" i="14" s="1"/>
  <c r="V29" i="20"/>
  <c r="V29" i="14" s="1"/>
  <c r="V28" i="20"/>
  <c r="V28" i="14" s="1"/>
  <c r="V27" i="20"/>
  <c r="V27" i="14" s="1"/>
  <c r="V26" i="20"/>
  <c r="V26" i="14" s="1"/>
  <c r="DA85" i="26" s="1"/>
  <c r="DK85" i="26" s="1"/>
  <c r="V25" i="20"/>
  <c r="V25" i="14" s="1"/>
  <c r="V24" i="20"/>
  <c r="V24" i="14" s="1"/>
  <c r="V23" i="20"/>
  <c r="V23" i="14" s="1"/>
  <c r="V22" i="20"/>
  <c r="V22" i="14" s="1"/>
  <c r="V21" i="20"/>
  <c r="V21" i="14" s="1"/>
  <c r="CZ85" i="26" s="1"/>
  <c r="DJ85" i="26" s="1"/>
  <c r="V20" i="20"/>
  <c r="V20" i="14" s="1"/>
  <c r="V19" i="20"/>
  <c r="V19" i="14" s="1"/>
  <c r="V18" i="20"/>
  <c r="V18" i="14" s="1"/>
  <c r="V17" i="20"/>
  <c r="V17" i="14" s="1"/>
  <c r="V16" i="20"/>
  <c r="V16" i="14" s="1"/>
  <c r="CY85" i="26" s="1"/>
  <c r="DI85" i="26" s="1"/>
  <c r="V15" i="20"/>
  <c r="V15" i="14" s="1"/>
  <c r="V14" i="20"/>
  <c r="V14" i="14" s="1"/>
  <c r="V13" i="20"/>
  <c r="V13" i="14" s="1"/>
  <c r="V12" i="20"/>
  <c r="V12" i="14" s="1"/>
  <c r="V11" i="20"/>
  <c r="V11" i="14" s="1"/>
  <c r="CX85" i="26" s="1"/>
  <c r="DH85" i="26" s="1"/>
  <c r="V10" i="20"/>
  <c r="V10" i="14" s="1"/>
  <c r="V9" i="20"/>
  <c r="V9" i="14" s="1"/>
  <c r="V8" i="20"/>
  <c r="V8" i="14" s="1"/>
  <c r="V7" i="20"/>
  <c r="V7" i="14" s="1"/>
  <c r="V6" i="20"/>
  <c r="V6" i="14" s="1"/>
  <c r="CW85" i="26" s="1"/>
  <c r="DG85" i="26" s="1"/>
  <c r="I29" i="26"/>
  <c r="AC20" i="37"/>
  <c r="AB20" i="37"/>
  <c r="AA20" i="37"/>
  <c r="Z20" i="37"/>
  <c r="AC17" i="37"/>
  <c r="AB17" i="37"/>
  <c r="AA17" i="37"/>
  <c r="Z17" i="37"/>
  <c r="AC11" i="37"/>
  <c r="AC14" i="37" s="1"/>
  <c r="AB11" i="37"/>
  <c r="AB14" i="37" s="1"/>
  <c r="AA11" i="37"/>
  <c r="AA14" i="37" s="1"/>
  <c r="Z11" i="37"/>
  <c r="Z14" i="37" s="1"/>
  <c r="X6" i="38"/>
  <c r="O5" i="38"/>
  <c r="M6" i="38"/>
  <c r="Y6" i="38" s="1"/>
  <c r="Y9" i="38" s="1"/>
  <c r="AN57" i="38"/>
  <c r="AN58" i="38" s="1"/>
  <c r="AN59" i="38" s="1"/>
  <c r="AN60" i="38" s="1"/>
  <c r="AN61" i="38" s="1"/>
  <c r="AN62" i="38" s="1"/>
  <c r="AN63" i="38" s="1"/>
  <c r="AN64" i="38" s="1"/>
  <c r="AN65" i="38" s="1"/>
  <c r="AN66" i="38" s="1"/>
  <c r="AN67" i="38" s="1"/>
  <c r="AN68" i="38" s="1"/>
  <c r="AN69" i="38" s="1"/>
  <c r="AN70" i="38" s="1"/>
  <c r="AN71" i="38" s="1"/>
  <c r="AN72" i="38" s="1"/>
  <c r="AN73" i="38" s="1"/>
  <c r="AN74" i="38" s="1"/>
  <c r="AN75" i="38" s="1"/>
  <c r="AN76" i="38" s="1"/>
  <c r="AN77" i="38" s="1"/>
  <c r="AN78" i="38" s="1"/>
  <c r="AN79" i="38" s="1"/>
  <c r="AN80" i="38" s="1"/>
  <c r="AN81" i="38" s="1"/>
  <c r="AN82" i="38" s="1"/>
  <c r="AN83" i="38" s="1"/>
  <c r="AN84" i="38" s="1"/>
  <c r="AN85" i="38" s="1"/>
  <c r="AN86" i="38" s="1"/>
  <c r="AN87" i="38" s="1"/>
  <c r="AN88" i="38" s="1"/>
  <c r="AN89" i="38" s="1"/>
  <c r="AN90" i="38" s="1"/>
  <c r="AN91" i="38" s="1"/>
  <c r="AN92" i="38" s="1"/>
  <c r="AN93" i="38" s="1"/>
  <c r="AN94" i="38" s="1"/>
  <c r="AN95" i="38" s="1"/>
  <c r="AN96" i="38" s="1"/>
  <c r="AN97" i="38" s="1"/>
  <c r="AN98" i="38" s="1"/>
  <c r="AN99" i="38" s="1"/>
  <c r="AN100" i="38" s="1"/>
  <c r="AN101" i="38" s="1"/>
  <c r="AN102" i="38" s="1"/>
  <c r="AN103" i="38" s="1"/>
  <c r="AN104" i="38" s="1"/>
  <c r="AN105" i="38" s="1"/>
  <c r="AN106" i="38" s="1"/>
  <c r="AN107" i="38" s="1"/>
  <c r="AN108" i="38" s="1"/>
  <c r="AN109" i="38" s="1"/>
  <c r="AN110" i="38" s="1"/>
  <c r="AN111" i="38" s="1"/>
  <c r="AN112" i="38" s="1"/>
  <c r="AN113" i="38" s="1"/>
  <c r="AN114" i="38" s="1"/>
  <c r="AN115" i="38" s="1"/>
  <c r="AN116" i="38" s="1"/>
  <c r="AN117" i="38" s="1"/>
  <c r="AN118" i="38" s="1"/>
  <c r="AN119" i="38" s="1"/>
  <c r="AN120" i="38" s="1"/>
  <c r="AN121" i="38" s="1"/>
  <c r="AN122" i="38" s="1"/>
  <c r="AN123" i="38" s="1"/>
  <c r="AN124" i="38" s="1"/>
  <c r="AN125" i="38" s="1"/>
  <c r="AN126" i="38" s="1"/>
  <c r="AN127" i="38" s="1"/>
  <c r="AN128" i="38" s="1"/>
  <c r="AN129" i="38" s="1"/>
  <c r="AN130" i="38" s="1"/>
  <c r="AN131" i="38" s="1"/>
  <c r="AN132" i="38" s="1"/>
  <c r="AN133" i="38" s="1"/>
  <c r="AN134" i="38" s="1"/>
  <c r="AN135" i="38" s="1"/>
  <c r="AN136" i="38" s="1"/>
  <c r="AN137" i="38" s="1"/>
  <c r="AN138" i="38" s="1"/>
  <c r="AN139" i="38" s="1"/>
  <c r="AN140" i="38" s="1"/>
  <c r="AN141" i="38" s="1"/>
  <c r="AN142" i="38" s="1"/>
  <c r="AN143" i="38" s="1"/>
  <c r="AN144" i="38" s="1"/>
  <c r="AN145" i="38" s="1"/>
  <c r="AN146" i="38" s="1"/>
  <c r="AN147" i="38" s="1"/>
  <c r="AN148" i="38" s="1"/>
  <c r="AN149" i="38" s="1"/>
  <c r="AN150" i="38" s="1"/>
  <c r="AN151" i="38" s="1"/>
  <c r="AN152" i="38" s="1"/>
  <c r="AN153" i="38" s="1"/>
  <c r="AN154" i="38" s="1"/>
  <c r="AN155" i="38" s="1"/>
  <c r="AN156" i="38" s="1"/>
  <c r="AN157" i="38" s="1"/>
  <c r="AN158" i="38" s="1"/>
  <c r="AN159" i="38" s="1"/>
  <c r="AN160" i="38" s="1"/>
  <c r="AN161" i="38" s="1"/>
  <c r="AN162" i="38" s="1"/>
  <c r="AN163" i="38" s="1"/>
  <c r="AN164" i="38" s="1"/>
  <c r="AN165" i="38" s="1"/>
  <c r="AN166" i="38" s="1"/>
  <c r="AN167" i="38" s="1"/>
  <c r="AN168" i="38" s="1"/>
  <c r="AN169" i="38" s="1"/>
  <c r="AN170" i="38" s="1"/>
  <c r="AN171" i="38" s="1"/>
  <c r="AN172" i="38" s="1"/>
  <c r="AN173" i="38" s="1"/>
  <c r="AN174" i="38" s="1"/>
  <c r="AN175" i="38" s="1"/>
  <c r="AN176" i="38" s="1"/>
  <c r="AN177" i="38" s="1"/>
  <c r="AN178" i="38" s="1"/>
  <c r="AN179" i="38" s="1"/>
  <c r="AN180" i="38" s="1"/>
  <c r="AN181" i="38" s="1"/>
  <c r="AN182" i="38" s="1"/>
  <c r="AN183" i="38" s="1"/>
  <c r="AN184" i="38" s="1"/>
  <c r="AN185" i="38" s="1"/>
  <c r="AN186" i="38" s="1"/>
  <c r="AN187" i="38" s="1"/>
  <c r="AN188" i="38" s="1"/>
  <c r="AN189" i="38" s="1"/>
  <c r="AN190" i="38" s="1"/>
  <c r="AN191" i="38" s="1"/>
  <c r="AN192" i="38" s="1"/>
  <c r="AN193" i="38" s="1"/>
  <c r="AN194" i="38" s="1"/>
  <c r="AN195" i="38" s="1"/>
  <c r="AN196" i="38" s="1"/>
  <c r="AN197" i="38" s="1"/>
  <c r="AN198" i="38" s="1"/>
  <c r="AN199" i="38" s="1"/>
  <c r="AN200" i="38" s="1"/>
  <c r="AN201" i="38" s="1"/>
  <c r="AN202" i="38" s="1"/>
  <c r="AN203" i="38" s="1"/>
  <c r="AN204" i="38" s="1"/>
  <c r="AN205" i="38" s="1"/>
  <c r="AN206" i="38" s="1"/>
  <c r="AN207" i="38" s="1"/>
  <c r="AN208" i="38" s="1"/>
  <c r="AN209" i="38" s="1"/>
  <c r="AN210" i="38" s="1"/>
  <c r="AN211" i="38" s="1"/>
  <c r="AN212" i="38" s="1"/>
  <c r="D12" i="38"/>
  <c r="L87" i="38"/>
  <c r="K87" i="38"/>
  <c r="W5" i="38"/>
  <c r="V5" i="38"/>
  <c r="U5" i="38"/>
  <c r="T5" i="38"/>
  <c r="AJ5" i="38"/>
  <c r="AI5" i="38"/>
  <c r="AC5" i="38"/>
  <c r="AH5" i="38"/>
  <c r="AD5" i="38"/>
  <c r="S5" i="38"/>
  <c r="AF5" i="38"/>
  <c r="AG5" i="38"/>
  <c r="AE5" i="38"/>
  <c r="R5" i="38"/>
  <c r="W9" i="38"/>
  <c r="U9" i="38"/>
  <c r="T9" i="38"/>
  <c r="AC9" i="38"/>
  <c r="AD9" i="38"/>
  <c r="S9" i="38"/>
  <c r="R9" i="38"/>
  <c r="T74" i="42" l="1"/>
  <c r="S75" i="42"/>
  <c r="U74" i="42"/>
  <c r="T6" i="25"/>
  <c r="N6" i="38"/>
  <c r="N9" i="38" s="1"/>
  <c r="O6" i="38"/>
  <c r="O9" i="38" s="1"/>
  <c r="Z6" i="38"/>
  <c r="Z9" i="38" s="1"/>
  <c r="C6" i="35"/>
  <c r="AF6" i="35" s="1"/>
  <c r="W28" i="26"/>
  <c r="W34" i="26" s="1"/>
  <c r="U75" i="42" l="1"/>
  <c r="T75" i="42"/>
  <c r="S76" i="42"/>
  <c r="AF6" i="14"/>
  <c r="C13" i="38"/>
  <c r="S27" i="37"/>
  <c r="S28" i="37" s="1"/>
  <c r="S23" i="37"/>
  <c r="Q20" i="37"/>
  <c r="Q21" i="37" s="1"/>
  <c r="Q22" i="37" s="1"/>
  <c r="P20" i="37"/>
  <c r="P21" i="37" s="1"/>
  <c r="P22" i="37" s="1"/>
  <c r="Q17" i="37"/>
  <c r="Q18" i="37" s="1"/>
  <c r="Q19" i="37" s="1"/>
  <c r="P17" i="37"/>
  <c r="P18" i="37" s="1"/>
  <c r="P19" i="37" s="1"/>
  <c r="Q14" i="37"/>
  <c r="Q15" i="37" s="1"/>
  <c r="Q16" i="37" s="1"/>
  <c r="P14" i="37"/>
  <c r="P15" i="37" s="1"/>
  <c r="P16" i="37" s="1"/>
  <c r="Q11" i="37"/>
  <c r="Q12" i="37" s="1"/>
  <c r="Q13" i="37" s="1"/>
  <c r="P11" i="37"/>
  <c r="P12" i="37" s="1"/>
  <c r="P13" i="37" s="1"/>
  <c r="Q7" i="37"/>
  <c r="P7" i="37"/>
  <c r="O27" i="37"/>
  <c r="O28" i="37" s="1"/>
  <c r="O23" i="37"/>
  <c r="M20" i="37"/>
  <c r="M21" i="37" s="1"/>
  <c r="M22" i="37" s="1"/>
  <c r="L20" i="37"/>
  <c r="L21" i="37" s="1"/>
  <c r="L22" i="37" s="1"/>
  <c r="M17" i="37"/>
  <c r="M18" i="37" s="1"/>
  <c r="M19" i="37" s="1"/>
  <c r="L17" i="37"/>
  <c r="L18" i="37" s="1"/>
  <c r="L19" i="37" s="1"/>
  <c r="M14" i="37"/>
  <c r="M15" i="37" s="1"/>
  <c r="M16" i="37" s="1"/>
  <c r="L14" i="37"/>
  <c r="L15" i="37" s="1"/>
  <c r="L16" i="37" s="1"/>
  <c r="M11" i="37"/>
  <c r="M12" i="37" s="1"/>
  <c r="M13" i="37" s="1"/>
  <c r="L11" i="37"/>
  <c r="L12" i="37" s="1"/>
  <c r="L13" i="37" s="1"/>
  <c r="M7" i="37"/>
  <c r="L7" i="37"/>
  <c r="K27" i="37"/>
  <c r="K28" i="37" s="1"/>
  <c r="K23" i="37"/>
  <c r="I20" i="37"/>
  <c r="I21" i="37" s="1"/>
  <c r="I22" i="37" s="1"/>
  <c r="H20" i="37"/>
  <c r="H21" i="37" s="1"/>
  <c r="H22" i="37" s="1"/>
  <c r="I17" i="37"/>
  <c r="I18" i="37" s="1"/>
  <c r="I19" i="37" s="1"/>
  <c r="H17" i="37"/>
  <c r="H18" i="37" s="1"/>
  <c r="H19" i="37" s="1"/>
  <c r="I14" i="37"/>
  <c r="I15" i="37" s="1"/>
  <c r="I16" i="37" s="1"/>
  <c r="H14" i="37"/>
  <c r="H15" i="37" s="1"/>
  <c r="H16" i="37" s="1"/>
  <c r="I11" i="37"/>
  <c r="I12" i="37" s="1"/>
  <c r="I13" i="37" s="1"/>
  <c r="H11" i="37"/>
  <c r="H12" i="37" s="1"/>
  <c r="H13" i="37" s="1"/>
  <c r="I7" i="37"/>
  <c r="H7" i="37"/>
  <c r="G27" i="37"/>
  <c r="E20" i="37"/>
  <c r="D20" i="37"/>
  <c r="E17" i="37"/>
  <c r="D17" i="37"/>
  <c r="E14" i="37"/>
  <c r="D14" i="37"/>
  <c r="E11" i="37"/>
  <c r="D11" i="37"/>
  <c r="E7" i="37"/>
  <c r="D7" i="37"/>
  <c r="AC27" i="37"/>
  <c r="AB27" i="37"/>
  <c r="AA27" i="37"/>
  <c r="Z27" i="37"/>
  <c r="AC23" i="37"/>
  <c r="AB23" i="37"/>
  <c r="AA23" i="37"/>
  <c r="Z23" i="37"/>
  <c r="T76" i="42" l="1"/>
  <c r="U76" i="42"/>
  <c r="S77" i="42"/>
  <c r="K24" i="37"/>
  <c r="K25" i="37" s="1"/>
  <c r="K26" i="37" s="1"/>
  <c r="S24" i="37"/>
  <c r="S25" i="37" s="1"/>
  <c r="S26" i="37" s="1"/>
  <c r="O24" i="37"/>
  <c r="O25" i="37" s="1"/>
  <c r="O26" i="37" s="1"/>
  <c r="N13" i="38"/>
  <c r="Y13" i="38"/>
  <c r="R13" i="38"/>
  <c r="Y23" i="37"/>
  <c r="R23" i="37" s="1"/>
  <c r="V27" i="37"/>
  <c r="F27" i="37" s="1"/>
  <c r="W27" i="37"/>
  <c r="J27" i="37" s="1"/>
  <c r="Y27" i="37"/>
  <c r="R27" i="37" s="1"/>
  <c r="AA24" i="37"/>
  <c r="W24" i="37" s="1"/>
  <c r="J24" i="37" s="1"/>
  <c r="W23" i="37"/>
  <c r="J23" i="37" s="1"/>
  <c r="X27" i="37"/>
  <c r="N27" i="37" s="1"/>
  <c r="Z24" i="37"/>
  <c r="V24" i="37" s="1"/>
  <c r="F24" i="37" s="1"/>
  <c r="V23" i="37"/>
  <c r="F23" i="37" s="1"/>
  <c r="AB24" i="37"/>
  <c r="X24" i="37" s="1"/>
  <c r="N24" i="37" s="1"/>
  <c r="X23" i="37"/>
  <c r="N23" i="37" s="1"/>
  <c r="O13" i="38"/>
  <c r="Z13" i="38"/>
  <c r="AT13" i="38"/>
  <c r="M13" i="38" s="1"/>
  <c r="T13" i="38"/>
  <c r="W13" i="38"/>
  <c r="U13" i="38"/>
  <c r="S13" i="38"/>
  <c r="V13" i="38"/>
  <c r="AH13" i="38"/>
  <c r="AF13" i="38"/>
  <c r="AC13" i="38"/>
  <c r="J13" i="38"/>
  <c r="AE13" i="38"/>
  <c r="AG13" i="38"/>
  <c r="AJ13" i="38"/>
  <c r="H13" i="38"/>
  <c r="AI13" i="38"/>
  <c r="AD13" i="38"/>
  <c r="I13" i="38"/>
  <c r="P9" i="37"/>
  <c r="P10" i="37" s="1"/>
  <c r="Q9" i="37"/>
  <c r="Q10" i="37" s="1"/>
  <c r="M9" i="37"/>
  <c r="M10" i="37" s="1"/>
  <c r="L9" i="37"/>
  <c r="L10" i="37" s="1"/>
  <c r="Z28" i="37"/>
  <c r="H9" i="37"/>
  <c r="H10" i="37" s="1"/>
  <c r="AA28" i="37"/>
  <c r="I9" i="37"/>
  <c r="I10" i="37" s="1"/>
  <c r="AC24" i="37"/>
  <c r="AB28" i="37"/>
  <c r="X28" i="37" s="1"/>
  <c r="AC28" i="37"/>
  <c r="U77" i="42" l="1"/>
  <c r="T77" i="42"/>
  <c r="S78" i="42"/>
  <c r="O29" i="37"/>
  <c r="K29" i="37"/>
  <c r="S29" i="37"/>
  <c r="Q29" i="37"/>
  <c r="I29" i="37"/>
  <c r="M29" i="37"/>
  <c r="P29" i="37"/>
  <c r="L29" i="37"/>
  <c r="H29" i="37"/>
  <c r="AB25" i="37"/>
  <c r="X25" i="37" s="1"/>
  <c r="N25" i="37" s="1"/>
  <c r="AA25" i="37"/>
  <c r="W25" i="37" s="1"/>
  <c r="J25" i="37" s="1"/>
  <c r="Z25" i="37"/>
  <c r="V25" i="37" s="1"/>
  <c r="F25" i="37" s="1"/>
  <c r="V28" i="37"/>
  <c r="F28" i="37" s="1"/>
  <c r="W28" i="37"/>
  <c r="J28" i="37" s="1"/>
  <c r="Y28" i="37"/>
  <c r="R28" i="37" s="1"/>
  <c r="AC25" i="37"/>
  <c r="Y24" i="37"/>
  <c r="R24" i="37" s="1"/>
  <c r="P13" i="38"/>
  <c r="E13" i="38" s="1"/>
  <c r="X13" i="38"/>
  <c r="AA13" i="38" s="1"/>
  <c r="F13" i="38" s="1"/>
  <c r="AK13" i="38"/>
  <c r="N28" i="37"/>
  <c r="T78" i="42" l="1"/>
  <c r="S79" i="42"/>
  <c r="U78" i="42"/>
  <c r="AB26" i="37"/>
  <c r="X26" i="37" s="1"/>
  <c r="N26" i="37" s="1"/>
  <c r="AA26" i="37"/>
  <c r="W26" i="37" s="1"/>
  <c r="J26" i="37" s="1"/>
  <c r="D13" i="38"/>
  <c r="Z26" i="37"/>
  <c r="V26" i="37" s="1"/>
  <c r="F26" i="37" s="1"/>
  <c r="AC26" i="37"/>
  <c r="Y25" i="37"/>
  <c r="R25" i="37" s="1"/>
  <c r="L6" i="35" l="1"/>
  <c r="L6" i="14" s="1"/>
  <c r="A13" i="38"/>
  <c r="AP6" i="36" s="1"/>
  <c r="T79" i="42"/>
  <c r="U79" i="42"/>
  <c r="S80" i="42"/>
  <c r="Y26" i="37"/>
  <c r="R26" i="37" s="1"/>
  <c r="R7" i="37"/>
  <c r="R6" i="37"/>
  <c r="R5" i="37"/>
  <c r="AC21" i="37"/>
  <c r="W20" i="37"/>
  <c r="J20" i="37" s="1"/>
  <c r="V20" i="37"/>
  <c r="F20" i="37" s="1"/>
  <c r="Y17" i="37"/>
  <c r="R17" i="37" s="1"/>
  <c r="AA18" i="37"/>
  <c r="AA19" i="37" s="1"/>
  <c r="W19" i="37" s="1"/>
  <c r="J19" i="37" s="1"/>
  <c r="Z18" i="37"/>
  <c r="Z19" i="37" s="1"/>
  <c r="V19" i="37" s="1"/>
  <c r="F19" i="37" s="1"/>
  <c r="Y14" i="37"/>
  <c r="R14" i="37" s="1"/>
  <c r="AA15" i="37"/>
  <c r="W15" i="37" s="1"/>
  <c r="J15" i="37" s="1"/>
  <c r="Z15" i="37"/>
  <c r="Z16" i="37" s="1"/>
  <c r="V16" i="37" s="1"/>
  <c r="F16" i="37" s="1"/>
  <c r="Y11" i="37"/>
  <c r="R11" i="37" s="1"/>
  <c r="AA12" i="37"/>
  <c r="AA13" i="37" s="1"/>
  <c r="W13" i="37" s="1"/>
  <c r="J13" i="37" s="1"/>
  <c r="Z12" i="37"/>
  <c r="Z13" i="37" s="1"/>
  <c r="V13" i="37" s="1"/>
  <c r="F13" i="37" s="1"/>
  <c r="S81" i="42" l="1"/>
  <c r="T80" i="42"/>
  <c r="U80" i="42"/>
  <c r="AA9" i="37"/>
  <c r="AA10" i="37" s="1"/>
  <c r="W10" i="37" s="1"/>
  <c r="J10" i="37" s="1"/>
  <c r="W8" i="37"/>
  <c r="J8" i="37" s="1"/>
  <c r="X17" i="37"/>
  <c r="N17" i="37" s="1"/>
  <c r="X11" i="37"/>
  <c r="N11" i="37" s="1"/>
  <c r="X14" i="37"/>
  <c r="N14" i="37" s="1"/>
  <c r="AB21" i="37"/>
  <c r="X21" i="37" s="1"/>
  <c r="N21" i="37" s="1"/>
  <c r="X20" i="37"/>
  <c r="N20" i="37" s="1"/>
  <c r="Y20" i="37"/>
  <c r="R20" i="37" s="1"/>
  <c r="AC9" i="37"/>
  <c r="Y9" i="37" s="1"/>
  <c r="R9" i="37" s="1"/>
  <c r="V11" i="37"/>
  <c r="F11" i="37" s="1"/>
  <c r="AB12" i="37"/>
  <c r="W11" i="37"/>
  <c r="J11" i="37" s="1"/>
  <c r="AC12" i="37"/>
  <c r="AC13" i="37" s="1"/>
  <c r="Y13" i="37" s="1"/>
  <c r="R13" i="37" s="1"/>
  <c r="AB18" i="37"/>
  <c r="AC18" i="37"/>
  <c r="AC19" i="37" s="1"/>
  <c r="Y19" i="37" s="1"/>
  <c r="R19" i="37" s="1"/>
  <c r="V17" i="37"/>
  <c r="F17" i="37" s="1"/>
  <c r="Z9" i="37"/>
  <c r="Z10" i="37" s="1"/>
  <c r="V10" i="37" s="1"/>
  <c r="F10" i="37" s="1"/>
  <c r="W17" i="37"/>
  <c r="J17" i="37" s="1"/>
  <c r="AC22" i="37"/>
  <c r="Y22" i="37" s="1"/>
  <c r="R22" i="37" s="1"/>
  <c r="Y21" i="37"/>
  <c r="R21" i="37" s="1"/>
  <c r="Z21" i="37"/>
  <c r="V21" i="37" s="1"/>
  <c r="F21" i="37" s="1"/>
  <c r="V14" i="37"/>
  <c r="F14" i="37" s="1"/>
  <c r="AB15" i="37"/>
  <c r="W14" i="37"/>
  <c r="J14" i="37" s="1"/>
  <c r="AC15" i="37"/>
  <c r="AA21" i="37"/>
  <c r="W21" i="37" s="1"/>
  <c r="J21" i="37" s="1"/>
  <c r="W12" i="37"/>
  <c r="J12" i="37" s="1"/>
  <c r="W18" i="37"/>
  <c r="J18" i="37" s="1"/>
  <c r="V12" i="37"/>
  <c r="F12" i="37" s="1"/>
  <c r="AA16" i="37"/>
  <c r="W16" i="37" s="1"/>
  <c r="J16" i="37" s="1"/>
  <c r="V18" i="37"/>
  <c r="F18" i="37" s="1"/>
  <c r="V15" i="37"/>
  <c r="F15" i="37" s="1"/>
  <c r="U81" i="42" l="1"/>
  <c r="S82" i="42"/>
  <c r="T81" i="42"/>
  <c r="W9" i="37"/>
  <c r="J9" i="37" s="1"/>
  <c r="AB22" i="37"/>
  <c r="X22" i="37" s="1"/>
  <c r="N22" i="37" s="1"/>
  <c r="Y12" i="37"/>
  <c r="R12" i="37" s="1"/>
  <c r="V9" i="37"/>
  <c r="F9" i="37" s="1"/>
  <c r="AC10" i="37"/>
  <c r="Y10" i="37" s="1"/>
  <c r="R10" i="37" s="1"/>
  <c r="AB13" i="37"/>
  <c r="AB19" i="37"/>
  <c r="AB9" i="37"/>
  <c r="X8" i="37"/>
  <c r="N8" i="37" s="1"/>
  <c r="Y18" i="37"/>
  <c r="R18" i="37" s="1"/>
  <c r="X18" i="37"/>
  <c r="N18" i="37" s="1"/>
  <c r="X12" i="37"/>
  <c r="N12" i="37" s="1"/>
  <c r="Y8" i="37"/>
  <c r="R8" i="37" s="1"/>
  <c r="V8" i="37"/>
  <c r="F8" i="37" s="1"/>
  <c r="AA22" i="37"/>
  <c r="W22" i="37" s="1"/>
  <c r="AC16" i="37"/>
  <c r="Y16" i="37" s="1"/>
  <c r="R16" i="37" s="1"/>
  <c r="Y15" i="37"/>
  <c r="R15" i="37" s="1"/>
  <c r="Z22" i="37"/>
  <c r="V22" i="37" s="1"/>
  <c r="F22" i="37" s="1"/>
  <c r="AB16" i="37"/>
  <c r="X15" i="37"/>
  <c r="N15" i="37" s="1"/>
  <c r="E18" i="37"/>
  <c r="E19" i="37" s="1"/>
  <c r="G28" i="37"/>
  <c r="G24" i="37"/>
  <c r="G25" i="37" s="1"/>
  <c r="G26" i="37" s="1"/>
  <c r="E21" i="37"/>
  <c r="D21" i="37"/>
  <c r="D22" i="37" s="1"/>
  <c r="D18" i="37"/>
  <c r="D19" i="37" s="1"/>
  <c r="E15" i="37"/>
  <c r="E16" i="37" s="1"/>
  <c r="D15" i="37"/>
  <c r="D16" i="37" s="1"/>
  <c r="E12" i="37"/>
  <c r="E13" i="37" s="1"/>
  <c r="D12" i="37"/>
  <c r="D13" i="37" s="1"/>
  <c r="T82" i="42" l="1"/>
  <c r="S83" i="42"/>
  <c r="U82" i="42"/>
  <c r="R29" i="37"/>
  <c r="G29" i="37"/>
  <c r="E22" i="37"/>
  <c r="J22" i="37"/>
  <c r="X19" i="37"/>
  <c r="N19" i="37" s="1"/>
  <c r="AB10" i="37"/>
  <c r="X9" i="37"/>
  <c r="N9" i="37" s="1"/>
  <c r="X16" i="37"/>
  <c r="N16" i="37" s="1"/>
  <c r="X13" i="37"/>
  <c r="N13" i="37" s="1"/>
  <c r="D9" i="37"/>
  <c r="D10" i="37" s="1"/>
  <c r="D29" i="37" s="1"/>
  <c r="Y29" i="37"/>
  <c r="E9" i="37"/>
  <c r="E10" i="37" s="1"/>
  <c r="C6" i="37"/>
  <c r="AF71" i="36"/>
  <c r="AB71" i="36"/>
  <c r="AA71" i="36"/>
  <c r="Z71" i="36"/>
  <c r="Y71" i="36"/>
  <c r="X71" i="36"/>
  <c r="W71" i="36"/>
  <c r="V71" i="36"/>
  <c r="S71" i="36"/>
  <c r="Q71" i="36"/>
  <c r="P71" i="36"/>
  <c r="O71" i="36"/>
  <c r="N71" i="36"/>
  <c r="M71" i="36"/>
  <c r="L71" i="36"/>
  <c r="I71" i="36"/>
  <c r="H71" i="36"/>
  <c r="F71" i="36"/>
  <c r="E71" i="36"/>
  <c r="D71" i="36"/>
  <c r="AE70" i="36"/>
  <c r="AC70" i="36"/>
  <c r="T70" i="36"/>
  <c r="J70" i="36"/>
  <c r="U70" i="36" s="1"/>
  <c r="AD70" i="36" s="1"/>
  <c r="AE69" i="36"/>
  <c r="AC69" i="36"/>
  <c r="T69" i="36"/>
  <c r="J69" i="36"/>
  <c r="U69" i="36" s="1"/>
  <c r="AD69" i="36" s="1"/>
  <c r="AE68" i="36"/>
  <c r="AC68" i="36"/>
  <c r="T68" i="36"/>
  <c r="J68" i="36"/>
  <c r="U68" i="36" s="1"/>
  <c r="AD68" i="36" s="1"/>
  <c r="AE67" i="36"/>
  <c r="AC67" i="36"/>
  <c r="T67" i="36"/>
  <c r="J67" i="36"/>
  <c r="U67" i="36" s="1"/>
  <c r="AD67" i="36" s="1"/>
  <c r="AE66" i="36"/>
  <c r="AC66" i="36"/>
  <c r="T66" i="36"/>
  <c r="J66" i="36"/>
  <c r="AE65" i="36"/>
  <c r="AC65" i="36"/>
  <c r="T65" i="36"/>
  <c r="J65" i="36"/>
  <c r="AE64" i="36"/>
  <c r="AC64" i="36"/>
  <c r="T64" i="36"/>
  <c r="J64" i="36"/>
  <c r="AE63" i="36"/>
  <c r="AC63" i="36"/>
  <c r="T63" i="36"/>
  <c r="J63" i="36"/>
  <c r="U63" i="36" s="1"/>
  <c r="AD63" i="36" s="1"/>
  <c r="AE62" i="36"/>
  <c r="AC62" i="36"/>
  <c r="T62" i="36"/>
  <c r="J62" i="36"/>
  <c r="U62" i="36" s="1"/>
  <c r="AD62" i="36" s="1"/>
  <c r="AE61" i="36"/>
  <c r="AC61" i="36"/>
  <c r="T61" i="36"/>
  <c r="J61" i="36"/>
  <c r="U61" i="36" s="1"/>
  <c r="AE60" i="36"/>
  <c r="AC60" i="36"/>
  <c r="T60" i="36"/>
  <c r="J60" i="36"/>
  <c r="AE59" i="36"/>
  <c r="AC59" i="36"/>
  <c r="T59" i="36"/>
  <c r="J59" i="36"/>
  <c r="AE58" i="36"/>
  <c r="AC58" i="36"/>
  <c r="T58" i="36"/>
  <c r="J58" i="36"/>
  <c r="AE57" i="36"/>
  <c r="AC57" i="36"/>
  <c r="T57" i="36"/>
  <c r="J57" i="36"/>
  <c r="AE56" i="36"/>
  <c r="AC56" i="36"/>
  <c r="T56" i="36"/>
  <c r="J56" i="36"/>
  <c r="AE55" i="36"/>
  <c r="AC55" i="36"/>
  <c r="T55" i="36"/>
  <c r="J55" i="36"/>
  <c r="AE54" i="36"/>
  <c r="AC54" i="36"/>
  <c r="T54" i="36"/>
  <c r="J54" i="36"/>
  <c r="AE53" i="36"/>
  <c r="AC53" i="36"/>
  <c r="T53" i="36"/>
  <c r="J53" i="36"/>
  <c r="U53" i="36" s="1"/>
  <c r="AD53" i="36" s="1"/>
  <c r="AE52" i="36"/>
  <c r="AC52" i="36"/>
  <c r="T52" i="36"/>
  <c r="J52" i="36"/>
  <c r="AE51" i="36"/>
  <c r="AC51" i="36"/>
  <c r="T51" i="36"/>
  <c r="J51" i="36"/>
  <c r="U51" i="36" s="1"/>
  <c r="AD51" i="36" s="1"/>
  <c r="AE50" i="36"/>
  <c r="AC50" i="36"/>
  <c r="T50" i="36"/>
  <c r="J50" i="36"/>
  <c r="U50" i="36" s="1"/>
  <c r="AD50" i="36" s="1"/>
  <c r="AE49" i="36"/>
  <c r="AC49" i="36"/>
  <c r="T49" i="36"/>
  <c r="J49" i="36"/>
  <c r="AE48" i="36"/>
  <c r="AC48" i="36"/>
  <c r="T48" i="36"/>
  <c r="J48" i="36"/>
  <c r="AE47" i="36"/>
  <c r="AC47" i="36"/>
  <c r="T47" i="36"/>
  <c r="J47" i="36"/>
  <c r="U47" i="36" s="1"/>
  <c r="AD47" i="36" s="1"/>
  <c r="AE46" i="36"/>
  <c r="AC46" i="36"/>
  <c r="T46" i="36"/>
  <c r="J46" i="36"/>
  <c r="AE45" i="36"/>
  <c r="AC45" i="36"/>
  <c r="T45" i="36"/>
  <c r="J45" i="36"/>
  <c r="AE44" i="36"/>
  <c r="AC44" i="36"/>
  <c r="T44" i="36"/>
  <c r="J44" i="36"/>
  <c r="AE43" i="36"/>
  <c r="AC43" i="36"/>
  <c r="T43" i="36"/>
  <c r="J43" i="36"/>
  <c r="AE42" i="36"/>
  <c r="AC42" i="36"/>
  <c r="T42" i="36"/>
  <c r="J42" i="36"/>
  <c r="AE41" i="36"/>
  <c r="AC41" i="36"/>
  <c r="T41" i="36"/>
  <c r="J41" i="36"/>
  <c r="AE40" i="36"/>
  <c r="AC40" i="36"/>
  <c r="T40" i="36"/>
  <c r="J40" i="36"/>
  <c r="AE39" i="36"/>
  <c r="AC39" i="36"/>
  <c r="T39" i="36"/>
  <c r="J39" i="36"/>
  <c r="AE38" i="36"/>
  <c r="AC38" i="36"/>
  <c r="T38" i="36"/>
  <c r="J38" i="36"/>
  <c r="AE37" i="36"/>
  <c r="AC37" i="36"/>
  <c r="T37" i="36"/>
  <c r="J37" i="36"/>
  <c r="AE36" i="36"/>
  <c r="AC36" i="36"/>
  <c r="T36" i="36"/>
  <c r="J36" i="36"/>
  <c r="AE35" i="36"/>
  <c r="AC35" i="36"/>
  <c r="T35" i="36"/>
  <c r="J35" i="36"/>
  <c r="AE34" i="36"/>
  <c r="AC34" i="36"/>
  <c r="T34" i="36"/>
  <c r="J34" i="36"/>
  <c r="AE33" i="36"/>
  <c r="AC33" i="36"/>
  <c r="T33" i="36"/>
  <c r="J33" i="36"/>
  <c r="AE32" i="36"/>
  <c r="AC32" i="36"/>
  <c r="T32" i="36"/>
  <c r="J32" i="36"/>
  <c r="AE31" i="36"/>
  <c r="AC31" i="36"/>
  <c r="T31" i="36"/>
  <c r="J31" i="36"/>
  <c r="AE30" i="36"/>
  <c r="AC30" i="36"/>
  <c r="T30" i="36"/>
  <c r="J30" i="36"/>
  <c r="AE29" i="36"/>
  <c r="AC29" i="36"/>
  <c r="T29" i="36"/>
  <c r="J29" i="36"/>
  <c r="AE28" i="36"/>
  <c r="AC28" i="36"/>
  <c r="T28" i="36"/>
  <c r="J28" i="36"/>
  <c r="AE27" i="36"/>
  <c r="AC27" i="36"/>
  <c r="T27" i="36"/>
  <c r="J27" i="36"/>
  <c r="AE26" i="36"/>
  <c r="AC26" i="36"/>
  <c r="T26" i="36"/>
  <c r="J26" i="36"/>
  <c r="AE25" i="36"/>
  <c r="AC25" i="36"/>
  <c r="T25" i="36"/>
  <c r="J25" i="36"/>
  <c r="AE24" i="36"/>
  <c r="AC24" i="36"/>
  <c r="T24" i="36"/>
  <c r="J24" i="36"/>
  <c r="AE23" i="36"/>
  <c r="AC23" i="36"/>
  <c r="T23" i="36"/>
  <c r="J23" i="36"/>
  <c r="AE22" i="36"/>
  <c r="AC22" i="36"/>
  <c r="T22" i="36"/>
  <c r="J22" i="36"/>
  <c r="AE21" i="36"/>
  <c r="AC21" i="36"/>
  <c r="T21" i="36"/>
  <c r="J21" i="36"/>
  <c r="AE20" i="36"/>
  <c r="AC20" i="36"/>
  <c r="T20" i="36"/>
  <c r="J20" i="36"/>
  <c r="AE19" i="36"/>
  <c r="AC19" i="36"/>
  <c r="T19" i="36"/>
  <c r="J19" i="36"/>
  <c r="AE18" i="36"/>
  <c r="AC18" i="36"/>
  <c r="T18" i="36"/>
  <c r="J18" i="36"/>
  <c r="AE17" i="36"/>
  <c r="AC17" i="36"/>
  <c r="T17" i="36"/>
  <c r="J17" i="36"/>
  <c r="AE16" i="36"/>
  <c r="AC16" i="36"/>
  <c r="T16" i="36"/>
  <c r="J16" i="36"/>
  <c r="AE15" i="36"/>
  <c r="AC15" i="36"/>
  <c r="T15" i="36"/>
  <c r="J15" i="36"/>
  <c r="AE14" i="36"/>
  <c r="AC14" i="36"/>
  <c r="T14" i="36"/>
  <c r="J14" i="36"/>
  <c r="AE13" i="36"/>
  <c r="AC13" i="36"/>
  <c r="T13" i="36"/>
  <c r="J13" i="36"/>
  <c r="AE12" i="36"/>
  <c r="AC12" i="36"/>
  <c r="T12" i="36"/>
  <c r="J12" i="36"/>
  <c r="AE11" i="36"/>
  <c r="AC11" i="36"/>
  <c r="T11" i="36"/>
  <c r="J11" i="36"/>
  <c r="AE10" i="36"/>
  <c r="AC10" i="36"/>
  <c r="T10" i="36"/>
  <c r="J10" i="36"/>
  <c r="AE9" i="36"/>
  <c r="AC9" i="36"/>
  <c r="T9" i="36"/>
  <c r="K71" i="36"/>
  <c r="J9" i="36"/>
  <c r="AE8" i="36"/>
  <c r="AC8" i="36"/>
  <c r="T8" i="36"/>
  <c r="J8" i="36"/>
  <c r="AE7" i="36"/>
  <c r="AC7" i="36"/>
  <c r="T7" i="36"/>
  <c r="J7" i="36"/>
  <c r="B7" i="36"/>
  <c r="B8" i="36" s="1"/>
  <c r="B9" i="36" s="1"/>
  <c r="B10" i="36" s="1"/>
  <c r="B11" i="36" s="1"/>
  <c r="B12" i="36" s="1"/>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3" i="36" s="1"/>
  <c r="B54" i="36" s="1"/>
  <c r="B55" i="36" s="1"/>
  <c r="B56" i="36" s="1"/>
  <c r="B57" i="36" s="1"/>
  <c r="B58" i="36" s="1"/>
  <c r="B59" i="36" s="1"/>
  <c r="B60" i="36" s="1"/>
  <c r="B61" i="36" s="1"/>
  <c r="B62" i="36" s="1"/>
  <c r="B63" i="36" s="1"/>
  <c r="B64" i="36" s="1"/>
  <c r="B65" i="36" s="1"/>
  <c r="B66" i="36" s="1"/>
  <c r="B67" i="36" s="1"/>
  <c r="B68" i="36" s="1"/>
  <c r="B69" i="36" s="1"/>
  <c r="B70" i="36" s="1"/>
  <c r="AE6" i="36"/>
  <c r="AC6" i="36"/>
  <c r="T6" i="36"/>
  <c r="J6" i="36"/>
  <c r="U44" i="36" l="1"/>
  <c r="AD44" i="36" s="1"/>
  <c r="U48" i="36"/>
  <c r="AD48" i="36" s="1"/>
  <c r="U54" i="36"/>
  <c r="AD54" i="36" s="1"/>
  <c r="U56" i="36"/>
  <c r="AD56" i="36" s="1"/>
  <c r="U60" i="36"/>
  <c r="AD60" i="36" s="1"/>
  <c r="U64" i="36"/>
  <c r="AD64" i="36" s="1"/>
  <c r="AA6" i="22"/>
  <c r="U7" i="36"/>
  <c r="AD7" i="36" s="1"/>
  <c r="U45" i="36"/>
  <c r="AD45" i="36" s="1"/>
  <c r="U49" i="36"/>
  <c r="AD49" i="36" s="1"/>
  <c r="U57" i="36"/>
  <c r="AD57" i="36" s="1"/>
  <c r="U65" i="36"/>
  <c r="AD65" i="36" s="1"/>
  <c r="U8" i="36"/>
  <c r="AD8" i="36" s="1"/>
  <c r="U83" i="42"/>
  <c r="T83" i="42"/>
  <c r="S84" i="42"/>
  <c r="E29" i="37"/>
  <c r="C7" i="37"/>
  <c r="U11" i="36"/>
  <c r="U17" i="36"/>
  <c r="AD17" i="36" s="1"/>
  <c r="U19" i="36"/>
  <c r="AD19" i="36" s="1"/>
  <c r="U25" i="36"/>
  <c r="AD25" i="36" s="1"/>
  <c r="U27" i="36"/>
  <c r="U33" i="36"/>
  <c r="AD33" i="36" s="1"/>
  <c r="U35" i="36"/>
  <c r="AD35" i="36" s="1"/>
  <c r="U41" i="36"/>
  <c r="AD41" i="36" s="1"/>
  <c r="U43" i="36"/>
  <c r="U52" i="36"/>
  <c r="AD52" i="36" s="1"/>
  <c r="U66" i="36"/>
  <c r="AD66" i="36" s="1"/>
  <c r="U14" i="36"/>
  <c r="AD14" i="36" s="1"/>
  <c r="U16" i="36"/>
  <c r="AD16" i="36" s="1"/>
  <c r="U22" i="36"/>
  <c r="AD22" i="36" s="1"/>
  <c r="U24" i="36"/>
  <c r="AD24" i="36" s="1"/>
  <c r="U30" i="36"/>
  <c r="AD30" i="36" s="1"/>
  <c r="U32" i="36"/>
  <c r="AD32" i="36" s="1"/>
  <c r="U38" i="36"/>
  <c r="AD38" i="36" s="1"/>
  <c r="U40" i="36"/>
  <c r="AD40" i="36" s="1"/>
  <c r="U58" i="36"/>
  <c r="AD58" i="36" s="1"/>
  <c r="X10" i="37"/>
  <c r="U46" i="36"/>
  <c r="AD46" i="36" s="1"/>
  <c r="U59" i="36"/>
  <c r="AD59" i="36" s="1"/>
  <c r="U9" i="36"/>
  <c r="AD9" i="36" s="1"/>
  <c r="U13" i="36"/>
  <c r="AD13" i="36" s="1"/>
  <c r="U18" i="36"/>
  <c r="AD18" i="36" s="1"/>
  <c r="U29" i="36"/>
  <c r="AD29" i="36" s="1"/>
  <c r="U34" i="36"/>
  <c r="AD34" i="36" s="1"/>
  <c r="J71" i="36"/>
  <c r="U12" i="36"/>
  <c r="AD12" i="36" s="1"/>
  <c r="U23" i="36"/>
  <c r="AD23" i="36" s="1"/>
  <c r="U28" i="36"/>
  <c r="AD28" i="36" s="1"/>
  <c r="U39" i="36"/>
  <c r="AD39" i="36" s="1"/>
  <c r="T71" i="36"/>
  <c r="AE71" i="36"/>
  <c r="AD11" i="36"/>
  <c r="AD43" i="36"/>
  <c r="U21" i="36"/>
  <c r="AD21" i="36" s="1"/>
  <c r="U26" i="36"/>
  <c r="AD26" i="36" s="1"/>
  <c r="U37" i="36"/>
  <c r="AD37" i="36" s="1"/>
  <c r="U42" i="36"/>
  <c r="AD42" i="36" s="1"/>
  <c r="AC71" i="36"/>
  <c r="AD27" i="36"/>
  <c r="U10" i="36"/>
  <c r="AD10" i="36" s="1"/>
  <c r="U15" i="36"/>
  <c r="AD15" i="36" s="1"/>
  <c r="U20" i="36"/>
  <c r="AD20" i="36" s="1"/>
  <c r="U31" i="36"/>
  <c r="AD31" i="36" s="1"/>
  <c r="U36" i="36"/>
  <c r="AD36" i="36" s="1"/>
  <c r="U55" i="36"/>
  <c r="AD55" i="36" s="1"/>
  <c r="AD61" i="36"/>
  <c r="U6" i="36"/>
  <c r="C7" i="35"/>
  <c r="AF7" i="35" s="1"/>
  <c r="W35" i="26"/>
  <c r="AJ71" i="35"/>
  <c r="AI71" i="35"/>
  <c r="AH71" i="35"/>
  <c r="AG71" i="35"/>
  <c r="AB71" i="35"/>
  <c r="AA71" i="35"/>
  <c r="Z71" i="35"/>
  <c r="Y71" i="35"/>
  <c r="X71" i="35"/>
  <c r="W71" i="35"/>
  <c r="V71" i="35"/>
  <c r="S71" i="35"/>
  <c r="Q71" i="35"/>
  <c r="P71" i="35"/>
  <c r="O71" i="35"/>
  <c r="N71" i="35"/>
  <c r="M71" i="35"/>
  <c r="I71" i="35"/>
  <c r="H71" i="35"/>
  <c r="F71" i="35"/>
  <c r="E71" i="35"/>
  <c r="D71" i="35"/>
  <c r="AE70" i="35"/>
  <c r="AC70" i="35"/>
  <c r="J70" i="35"/>
  <c r="AE69" i="35"/>
  <c r="AC69" i="35"/>
  <c r="J69" i="35"/>
  <c r="AE68" i="35"/>
  <c r="AC68" i="35"/>
  <c r="J68" i="35"/>
  <c r="AE67" i="35"/>
  <c r="AC67" i="35"/>
  <c r="J67" i="35"/>
  <c r="AE66" i="35"/>
  <c r="AC66" i="35"/>
  <c r="J66" i="35"/>
  <c r="AE65" i="35"/>
  <c r="AC65" i="35"/>
  <c r="J65" i="35"/>
  <c r="AE64" i="35"/>
  <c r="AC64" i="35"/>
  <c r="J64" i="35"/>
  <c r="AE63" i="35"/>
  <c r="AC63" i="35"/>
  <c r="J63" i="35"/>
  <c r="AE62" i="35"/>
  <c r="AC62" i="35"/>
  <c r="J62" i="35"/>
  <c r="AE61" i="35"/>
  <c r="AC61" i="35"/>
  <c r="J61" i="35"/>
  <c r="AE60" i="35"/>
  <c r="AC60" i="35"/>
  <c r="J60" i="35"/>
  <c r="AE59" i="35"/>
  <c r="AC59" i="35"/>
  <c r="J59" i="35"/>
  <c r="AE58" i="35"/>
  <c r="AC58" i="35"/>
  <c r="J58" i="35"/>
  <c r="AE57" i="35"/>
  <c r="AC57" i="35"/>
  <c r="J57" i="35"/>
  <c r="AE56" i="35"/>
  <c r="AC56" i="35"/>
  <c r="J56" i="35"/>
  <c r="AE55" i="35"/>
  <c r="AC55" i="35"/>
  <c r="J55" i="35"/>
  <c r="AE54" i="35"/>
  <c r="AC54" i="35"/>
  <c r="J54" i="35"/>
  <c r="AE53" i="35"/>
  <c r="AC53" i="35"/>
  <c r="J53" i="35"/>
  <c r="AE52" i="35"/>
  <c r="AC52" i="35"/>
  <c r="J52" i="35"/>
  <c r="AE51" i="35"/>
  <c r="AC51" i="35"/>
  <c r="J51" i="35"/>
  <c r="AE50" i="35"/>
  <c r="AC50" i="35"/>
  <c r="J50" i="35"/>
  <c r="AE49" i="35"/>
  <c r="AC49" i="35"/>
  <c r="J49" i="35"/>
  <c r="AE48" i="35"/>
  <c r="AC48" i="35"/>
  <c r="J48" i="35"/>
  <c r="AE47" i="35"/>
  <c r="AC47" i="35"/>
  <c r="J47" i="35"/>
  <c r="AE46" i="35"/>
  <c r="AC46" i="35"/>
  <c r="J46" i="35"/>
  <c r="AE45" i="35"/>
  <c r="AC45" i="35"/>
  <c r="J45" i="35"/>
  <c r="AE44" i="35"/>
  <c r="AC44" i="35"/>
  <c r="J44" i="35"/>
  <c r="AE43" i="35"/>
  <c r="AC43" i="35"/>
  <c r="J43" i="35"/>
  <c r="AE42" i="35"/>
  <c r="AC42" i="35"/>
  <c r="J42" i="35"/>
  <c r="AE41" i="35"/>
  <c r="AC41" i="35"/>
  <c r="J41" i="35"/>
  <c r="AE40" i="35"/>
  <c r="AC40" i="35"/>
  <c r="J40" i="35"/>
  <c r="AE39" i="35"/>
  <c r="AC39" i="35"/>
  <c r="J39" i="35"/>
  <c r="AE38" i="35"/>
  <c r="AC38" i="35"/>
  <c r="J38" i="35"/>
  <c r="AE37" i="35"/>
  <c r="AC37" i="35"/>
  <c r="J37" i="35"/>
  <c r="AE36" i="35"/>
  <c r="AC36" i="35"/>
  <c r="J36" i="35"/>
  <c r="AE35" i="35"/>
  <c r="AC35" i="35"/>
  <c r="J35" i="35"/>
  <c r="AE34" i="35"/>
  <c r="AC34" i="35"/>
  <c r="J34" i="35"/>
  <c r="AE33" i="35"/>
  <c r="AC33" i="35"/>
  <c r="J33" i="35"/>
  <c r="AE32" i="35"/>
  <c r="AC32" i="35"/>
  <c r="J32" i="35"/>
  <c r="AE31" i="35"/>
  <c r="AC31" i="35"/>
  <c r="J31" i="35"/>
  <c r="AE30" i="35"/>
  <c r="AC30" i="35"/>
  <c r="J30" i="35"/>
  <c r="AE29" i="35"/>
  <c r="AC29" i="35"/>
  <c r="J29" i="35"/>
  <c r="AE28" i="35"/>
  <c r="AC28" i="35"/>
  <c r="J28" i="35"/>
  <c r="AE27" i="35"/>
  <c r="AC27" i="35"/>
  <c r="J27" i="35"/>
  <c r="AE26" i="35"/>
  <c r="AC26" i="35"/>
  <c r="J26" i="35"/>
  <c r="AE25" i="35"/>
  <c r="AC25" i="35"/>
  <c r="J25" i="35"/>
  <c r="AE24" i="35"/>
  <c r="AC24" i="35"/>
  <c r="J24" i="35"/>
  <c r="AE23" i="35"/>
  <c r="AC23" i="35"/>
  <c r="J23" i="35"/>
  <c r="AE22" i="35"/>
  <c r="AC22" i="35"/>
  <c r="J22" i="35"/>
  <c r="AE21" i="35"/>
  <c r="AC21" i="35"/>
  <c r="J21" i="35"/>
  <c r="AE20" i="35"/>
  <c r="AC20" i="35"/>
  <c r="J20" i="35"/>
  <c r="AE19" i="35"/>
  <c r="AC19" i="35"/>
  <c r="J19" i="35"/>
  <c r="AE18" i="35"/>
  <c r="AC18" i="35"/>
  <c r="J18" i="35"/>
  <c r="AE17" i="35"/>
  <c r="AC17" i="35"/>
  <c r="J17" i="35"/>
  <c r="AE16" i="35"/>
  <c r="AC16" i="35"/>
  <c r="J16" i="35"/>
  <c r="AE15" i="35"/>
  <c r="AC15" i="35"/>
  <c r="J15" i="35"/>
  <c r="AE14" i="35"/>
  <c r="AC14" i="35"/>
  <c r="J14" i="35"/>
  <c r="AE13" i="35"/>
  <c r="AC13" i="35"/>
  <c r="J13" i="35"/>
  <c r="AE12" i="35"/>
  <c r="AC12" i="35"/>
  <c r="J12" i="35"/>
  <c r="AE11" i="35"/>
  <c r="AC11" i="35"/>
  <c r="J11" i="35"/>
  <c r="AE10" i="35"/>
  <c r="AC10" i="35"/>
  <c r="J10" i="35"/>
  <c r="AE9" i="35"/>
  <c r="AC9" i="35"/>
  <c r="J9" i="35"/>
  <c r="AE8" i="35"/>
  <c r="AC8" i="35"/>
  <c r="J8" i="35"/>
  <c r="AE7" i="35"/>
  <c r="AC7" i="35"/>
  <c r="J7" i="35"/>
  <c r="AE6" i="35"/>
  <c r="AK6" i="35" s="1"/>
  <c r="AC6" i="35"/>
  <c r="J6" i="35"/>
  <c r="T84" i="42" l="1"/>
  <c r="U84" i="42"/>
  <c r="S85" i="42"/>
  <c r="C8" i="37"/>
  <c r="AR13" i="38"/>
  <c r="C14" i="38"/>
  <c r="C8" i="35"/>
  <c r="AF8" i="35" s="1"/>
  <c r="N10" i="37"/>
  <c r="AD6" i="36"/>
  <c r="U71" i="36"/>
  <c r="AE71" i="35"/>
  <c r="W32" i="26"/>
  <c r="W31" i="26" s="1"/>
  <c r="AC71" i="35"/>
  <c r="J71" i="35"/>
  <c r="U85" i="42" l="1"/>
  <c r="T85" i="42"/>
  <c r="S86" i="42"/>
  <c r="C9" i="37"/>
  <c r="AF8" i="14"/>
  <c r="Y14" i="38"/>
  <c r="N14" i="38"/>
  <c r="R14" i="38"/>
  <c r="AF7" i="14"/>
  <c r="AK7" i="35"/>
  <c r="V14" i="38"/>
  <c r="O14" i="38"/>
  <c r="Z14" i="38"/>
  <c r="AR14" i="38"/>
  <c r="AS14" i="38" s="1"/>
  <c r="AT14" i="38" s="1"/>
  <c r="AG14" i="38"/>
  <c r="AI14" i="38"/>
  <c r="AD14" i="38"/>
  <c r="AC14" i="38"/>
  <c r="I14" i="38"/>
  <c r="AH14" i="38"/>
  <c r="U14" i="38"/>
  <c r="J14" i="38"/>
  <c r="S14" i="38"/>
  <c r="AF14" i="38"/>
  <c r="T14" i="38"/>
  <c r="AE14" i="38"/>
  <c r="AJ14" i="38"/>
  <c r="W14" i="38"/>
  <c r="H14" i="38"/>
  <c r="C15" i="38"/>
  <c r="C9" i="35"/>
  <c r="AF9" i="35" s="1"/>
  <c r="AD71" i="36"/>
  <c r="V7" i="33"/>
  <c r="H7" i="33" s="1"/>
  <c r="V6" i="33"/>
  <c r="H6" i="33" s="1"/>
  <c r="E7" i="33"/>
  <c r="F7" i="33"/>
  <c r="G7" i="33"/>
  <c r="E8" i="33"/>
  <c r="K8" i="33" s="1"/>
  <c r="F8" i="33"/>
  <c r="G8" i="33"/>
  <c r="H8" i="33"/>
  <c r="E9" i="33"/>
  <c r="F9" i="33"/>
  <c r="G9" i="33"/>
  <c r="H9" i="33"/>
  <c r="E10" i="33"/>
  <c r="K10" i="33" s="1"/>
  <c r="F10" i="33"/>
  <c r="G10" i="33"/>
  <c r="H10" i="33"/>
  <c r="E11" i="33"/>
  <c r="F11" i="33"/>
  <c r="G11" i="33"/>
  <c r="H11" i="33"/>
  <c r="E12" i="33"/>
  <c r="F12" i="33"/>
  <c r="G12" i="33"/>
  <c r="H12" i="33"/>
  <c r="E13" i="33"/>
  <c r="F13" i="33"/>
  <c r="G13" i="33"/>
  <c r="H13" i="33"/>
  <c r="E14" i="33"/>
  <c r="K14" i="33" s="1"/>
  <c r="F14" i="33"/>
  <c r="G14" i="33"/>
  <c r="H14" i="33"/>
  <c r="E15" i="33"/>
  <c r="F15" i="33"/>
  <c r="G15" i="33"/>
  <c r="H15" i="33"/>
  <c r="E16" i="33"/>
  <c r="F16" i="33"/>
  <c r="G16" i="33"/>
  <c r="H16" i="33"/>
  <c r="E17" i="33"/>
  <c r="F17" i="33"/>
  <c r="G17" i="33"/>
  <c r="H17" i="33"/>
  <c r="E18" i="33"/>
  <c r="K18" i="33" s="1"/>
  <c r="F18" i="33"/>
  <c r="G18" i="33"/>
  <c r="H18" i="33"/>
  <c r="E19" i="33"/>
  <c r="F19" i="33"/>
  <c r="G19" i="33"/>
  <c r="H19" i="33"/>
  <c r="E20" i="33"/>
  <c r="K20" i="33" s="1"/>
  <c r="F20" i="33"/>
  <c r="G20" i="33"/>
  <c r="H20" i="33"/>
  <c r="E21" i="33"/>
  <c r="F21" i="33"/>
  <c r="G21" i="33"/>
  <c r="H21" i="33"/>
  <c r="E22" i="33"/>
  <c r="K22" i="33" s="1"/>
  <c r="F22" i="33"/>
  <c r="G22" i="33"/>
  <c r="H22" i="33"/>
  <c r="E23" i="33"/>
  <c r="F23" i="33"/>
  <c r="G23" i="33"/>
  <c r="H23" i="33"/>
  <c r="E24" i="33"/>
  <c r="K24" i="33" s="1"/>
  <c r="F24" i="33"/>
  <c r="G24" i="33"/>
  <c r="H24" i="33"/>
  <c r="E25" i="33"/>
  <c r="F25" i="33"/>
  <c r="G25" i="33"/>
  <c r="H25" i="33"/>
  <c r="G6" i="33"/>
  <c r="F6" i="33"/>
  <c r="E6" i="33"/>
  <c r="T86" i="42" l="1"/>
  <c r="S87" i="42"/>
  <c r="U86" i="42"/>
  <c r="C10" i="37"/>
  <c r="AK8" i="35"/>
  <c r="AF9" i="14"/>
  <c r="Y15" i="38"/>
  <c r="N15" i="38"/>
  <c r="R15" i="38"/>
  <c r="Z15" i="38"/>
  <c r="O15" i="38"/>
  <c r="V15" i="38"/>
  <c r="AR15" i="38"/>
  <c r="AS15" i="38" s="1"/>
  <c r="M14" i="38"/>
  <c r="P14" i="38" s="1"/>
  <c r="E14" i="38" s="1"/>
  <c r="X14" i="38"/>
  <c r="AA14" i="38" s="1"/>
  <c r="F14" i="38" s="1"/>
  <c r="AK14" i="38"/>
  <c r="AI15" i="38"/>
  <c r="AG15" i="38"/>
  <c r="I15" i="38"/>
  <c r="AC15" i="38"/>
  <c r="H15" i="38"/>
  <c r="AD15" i="38"/>
  <c r="J15" i="38"/>
  <c r="S15" i="38"/>
  <c r="AH15" i="38"/>
  <c r="U15" i="38"/>
  <c r="AF15" i="38"/>
  <c r="AJ15" i="38"/>
  <c r="W15" i="38"/>
  <c r="AE15" i="38"/>
  <c r="T15" i="38"/>
  <c r="C16" i="38"/>
  <c r="C10" i="35"/>
  <c r="AF10" i="35" s="1"/>
  <c r="K25" i="33"/>
  <c r="I35" i="33" s="1"/>
  <c r="J35" i="33" s="1"/>
  <c r="K23" i="33"/>
  <c r="K21" i="33"/>
  <c r="K19" i="33"/>
  <c r="I34" i="33" s="1"/>
  <c r="K34" i="33" s="1"/>
  <c r="K17" i="33"/>
  <c r="L17" i="33" s="1"/>
  <c r="K15" i="33"/>
  <c r="K13" i="33"/>
  <c r="K11" i="33"/>
  <c r="L11" i="33" s="1"/>
  <c r="K9" i="33"/>
  <c r="L18" i="33"/>
  <c r="K12" i="33"/>
  <c r="I32" i="33" s="1"/>
  <c r="L32" i="33" s="1"/>
  <c r="L20" i="33"/>
  <c r="K16" i="33"/>
  <c r="I33" i="33" s="1"/>
  <c r="J33" i="33" s="1"/>
  <c r="K6" i="33"/>
  <c r="I30" i="33" s="1"/>
  <c r="K30" i="33" s="1"/>
  <c r="L14" i="33"/>
  <c r="L35" i="33"/>
  <c r="L12" i="33"/>
  <c r="L30" i="33"/>
  <c r="I7" i="33"/>
  <c r="I6" i="33"/>
  <c r="K7" i="33"/>
  <c r="L19" i="33"/>
  <c r="L34" i="33"/>
  <c r="J34" i="33"/>
  <c r="I8" i="33"/>
  <c r="I10" i="33"/>
  <c r="I12" i="33"/>
  <c r="I14" i="33"/>
  <c r="I16" i="33"/>
  <c r="I18" i="33"/>
  <c r="I20" i="33"/>
  <c r="J20" i="33" s="1"/>
  <c r="I22" i="33"/>
  <c r="I24" i="33"/>
  <c r="I9" i="33"/>
  <c r="I11" i="33"/>
  <c r="I13" i="33"/>
  <c r="I15" i="33"/>
  <c r="I17" i="33"/>
  <c r="I19" i="33"/>
  <c r="I21" i="33"/>
  <c r="I23" i="33"/>
  <c r="I25" i="33"/>
  <c r="J74" i="31"/>
  <c r="F74" i="31"/>
  <c r="E74" i="31"/>
  <c r="J73" i="31"/>
  <c r="F73" i="31"/>
  <c r="E73" i="31"/>
  <c r="J72" i="31"/>
  <c r="F72" i="31"/>
  <c r="E72" i="31"/>
  <c r="J71" i="31"/>
  <c r="F71" i="31"/>
  <c r="E71" i="31"/>
  <c r="K35" i="33" l="1"/>
  <c r="G72" i="31"/>
  <c r="L15" i="33"/>
  <c r="L25" i="33"/>
  <c r="L16" i="33"/>
  <c r="T87" i="42"/>
  <c r="U87" i="42"/>
  <c r="S88" i="42"/>
  <c r="C11" i="37"/>
  <c r="AK9" i="35"/>
  <c r="AF10" i="14"/>
  <c r="Y16" i="38"/>
  <c r="N16" i="38"/>
  <c r="Z16" i="38"/>
  <c r="O16" i="38"/>
  <c r="AT15" i="38"/>
  <c r="M15" i="38" s="1"/>
  <c r="P15" i="38" s="1"/>
  <c r="E15" i="38" s="1"/>
  <c r="AR16" i="38"/>
  <c r="AS16" i="38" s="1"/>
  <c r="AK15" i="38"/>
  <c r="AE16" i="38"/>
  <c r="AF16" i="38"/>
  <c r="R16" i="38"/>
  <c r="AD16" i="38"/>
  <c r="AG16" i="38"/>
  <c r="U16" i="38"/>
  <c r="J16" i="38"/>
  <c r="AJ16" i="38"/>
  <c r="T16" i="38"/>
  <c r="H16" i="38"/>
  <c r="AH16" i="38"/>
  <c r="W16" i="38"/>
  <c r="AI16" i="38"/>
  <c r="S16" i="38"/>
  <c r="V16" i="38"/>
  <c r="I16" i="38"/>
  <c r="AC16" i="38"/>
  <c r="C17" i="38"/>
  <c r="D14" i="38"/>
  <c r="C11" i="35"/>
  <c r="AF11" i="35" s="1"/>
  <c r="L13" i="33"/>
  <c r="K33" i="33"/>
  <c r="L6" i="33"/>
  <c r="J32" i="33"/>
  <c r="L24" i="33"/>
  <c r="L8" i="33"/>
  <c r="L22" i="33"/>
  <c r="E75" i="31"/>
  <c r="H75" i="31" s="1"/>
  <c r="L33" i="33"/>
  <c r="K32" i="33"/>
  <c r="L10" i="33"/>
  <c r="L21" i="33"/>
  <c r="G73" i="31"/>
  <c r="G71" i="31"/>
  <c r="G74" i="31"/>
  <c r="J30" i="33"/>
  <c r="L23" i="33"/>
  <c r="E76" i="31"/>
  <c r="H76" i="31" s="1"/>
  <c r="J11" i="33"/>
  <c r="L9" i="33"/>
  <c r="E34" i="33"/>
  <c r="J19" i="33"/>
  <c r="E32" i="33"/>
  <c r="J12" i="33"/>
  <c r="E30" i="33"/>
  <c r="J6" i="33"/>
  <c r="J25" i="33"/>
  <c r="J17" i="33"/>
  <c r="J9" i="33"/>
  <c r="J18" i="33"/>
  <c r="J10" i="33"/>
  <c r="J23" i="33"/>
  <c r="J15" i="33"/>
  <c r="E35" i="33"/>
  <c r="J24" i="33"/>
  <c r="E33" i="33"/>
  <c r="J16" i="33"/>
  <c r="J8" i="33"/>
  <c r="E31" i="33"/>
  <c r="J7" i="33"/>
  <c r="J21" i="33"/>
  <c r="J13" i="33"/>
  <c r="J22" i="33"/>
  <c r="J14" i="33"/>
  <c r="I31" i="33"/>
  <c r="L7" i="33"/>
  <c r="F75" i="31"/>
  <c r="F76" i="31"/>
  <c r="S72" i="31"/>
  <c r="T71" i="31"/>
  <c r="S71" i="31"/>
  <c r="Q71" i="31"/>
  <c r="R70" i="31"/>
  <c r="O70" i="31"/>
  <c r="R69" i="31"/>
  <c r="P69" i="31"/>
  <c r="O69" i="31"/>
  <c r="O66" i="31"/>
  <c r="P66" i="31"/>
  <c r="P70" i="31" s="1"/>
  <c r="Q66" i="31"/>
  <c r="Q70" i="31" s="1"/>
  <c r="R66" i="31"/>
  <c r="S66" i="31"/>
  <c r="S70" i="31" s="1"/>
  <c r="T66" i="31"/>
  <c r="T70" i="31" s="1"/>
  <c r="O67" i="31"/>
  <c r="O71" i="31" s="1"/>
  <c r="P67" i="31"/>
  <c r="P71" i="31" s="1"/>
  <c r="Q67" i="31"/>
  <c r="R67" i="31"/>
  <c r="R71" i="31" s="1"/>
  <c r="S67" i="31"/>
  <c r="T67" i="31"/>
  <c r="O68" i="31"/>
  <c r="O72" i="31" s="1"/>
  <c r="P68" i="31"/>
  <c r="P72" i="31" s="1"/>
  <c r="Q68" i="31"/>
  <c r="Q72" i="31" s="1"/>
  <c r="R68" i="31"/>
  <c r="R72" i="31" s="1"/>
  <c r="S68" i="31"/>
  <c r="T68" i="31"/>
  <c r="T72" i="31" s="1"/>
  <c r="J65" i="31"/>
  <c r="F65" i="31"/>
  <c r="E65" i="31"/>
  <c r="J64" i="31"/>
  <c r="F64" i="31"/>
  <c r="E64" i="31"/>
  <c r="J63" i="31"/>
  <c r="F63" i="31"/>
  <c r="E63" i="31"/>
  <c r="J62" i="31"/>
  <c r="F62" i="31"/>
  <c r="E62" i="31"/>
  <c r="T65" i="31"/>
  <c r="T69" i="31" s="1"/>
  <c r="S65" i="31"/>
  <c r="S69" i="31" s="1"/>
  <c r="R65" i="31"/>
  <c r="Q65" i="31"/>
  <c r="Q69" i="31" s="1"/>
  <c r="P65" i="31"/>
  <c r="O65" i="31"/>
  <c r="J56" i="31"/>
  <c r="F56" i="31"/>
  <c r="G56" i="31" s="1"/>
  <c r="E56" i="31"/>
  <c r="J55" i="31"/>
  <c r="F55" i="31"/>
  <c r="E55" i="31"/>
  <c r="J54" i="31"/>
  <c r="F54" i="31"/>
  <c r="E54" i="31"/>
  <c r="J53" i="31"/>
  <c r="F53" i="31"/>
  <c r="E53" i="31"/>
  <c r="E57" i="31" s="1"/>
  <c r="H57" i="31" s="1"/>
  <c r="F45" i="31"/>
  <c r="E45" i="31"/>
  <c r="F47" i="31"/>
  <c r="E47" i="31"/>
  <c r="G47" i="31" s="1"/>
  <c r="E46" i="31"/>
  <c r="F46" i="31"/>
  <c r="F44" i="31"/>
  <c r="F48" i="31" s="1"/>
  <c r="I48" i="31" s="1"/>
  <c r="E44" i="31"/>
  <c r="E48" i="31" s="1"/>
  <c r="H48" i="31" s="1"/>
  <c r="N48" i="31"/>
  <c r="N53" i="31" s="1"/>
  <c r="M48" i="31"/>
  <c r="M53" i="31" s="1"/>
  <c r="N47" i="31"/>
  <c r="N52" i="31" s="1"/>
  <c r="M47" i="31"/>
  <c r="M52" i="31" s="1"/>
  <c r="N46" i="31"/>
  <c r="N51" i="31" s="1"/>
  <c r="M46" i="31"/>
  <c r="M51" i="31" s="1"/>
  <c r="N45" i="31"/>
  <c r="N50" i="31" s="1"/>
  <c r="M45" i="31"/>
  <c r="M50" i="31" s="1"/>
  <c r="L7" i="35" l="1"/>
  <c r="A14" i="38"/>
  <c r="AP7" i="36" s="1"/>
  <c r="G46" i="31"/>
  <c r="E66" i="31"/>
  <c r="H66" i="31" s="1"/>
  <c r="E58" i="31"/>
  <c r="H58" i="31" s="1"/>
  <c r="T88" i="42"/>
  <c r="U88" i="42"/>
  <c r="C12" i="37"/>
  <c r="AK10" i="35"/>
  <c r="AF11" i="14"/>
  <c r="Y17" i="38"/>
  <c r="N17" i="38"/>
  <c r="R17" i="38"/>
  <c r="Z17" i="38"/>
  <c r="O17" i="38"/>
  <c r="X15" i="38"/>
  <c r="AA15" i="38" s="1"/>
  <c r="F15" i="38" s="1"/>
  <c r="D15" i="38" s="1"/>
  <c r="L7" i="14"/>
  <c r="AT16" i="38"/>
  <c r="M16" i="38" s="1"/>
  <c r="V17" i="38"/>
  <c r="AR17" i="38"/>
  <c r="AS17" i="38" s="1"/>
  <c r="AK16" i="38"/>
  <c r="AI17" i="38"/>
  <c r="AJ17" i="38"/>
  <c r="AC17" i="38"/>
  <c r="AF17" i="38"/>
  <c r="AG17" i="38"/>
  <c r="U17" i="38"/>
  <c r="AH17" i="38"/>
  <c r="J17" i="38"/>
  <c r="S17" i="38"/>
  <c r="H17" i="38"/>
  <c r="AD17" i="38"/>
  <c r="T17" i="38"/>
  <c r="I17" i="38"/>
  <c r="AE17" i="38"/>
  <c r="W17" i="38"/>
  <c r="C18" i="38"/>
  <c r="C12" i="35"/>
  <c r="AF12" i="35" s="1"/>
  <c r="G44" i="31"/>
  <c r="F57" i="31"/>
  <c r="G64" i="31"/>
  <c r="F58" i="31"/>
  <c r="G65" i="31"/>
  <c r="F49" i="31"/>
  <c r="I49" i="31" s="1"/>
  <c r="E67" i="31"/>
  <c r="H67" i="31" s="1"/>
  <c r="F67" i="31"/>
  <c r="G67" i="31" s="1"/>
  <c r="G55" i="31"/>
  <c r="H35" i="33"/>
  <c r="G35" i="33"/>
  <c r="F35" i="33"/>
  <c r="J31" i="33"/>
  <c r="L31" i="33"/>
  <c r="K31" i="33"/>
  <c r="G30" i="33"/>
  <c r="F30" i="33"/>
  <c r="H30" i="33"/>
  <c r="G34" i="33"/>
  <c r="F34" i="33"/>
  <c r="H34" i="33"/>
  <c r="F33" i="33"/>
  <c r="H33" i="33"/>
  <c r="G33" i="33"/>
  <c r="H31" i="33"/>
  <c r="G31" i="33"/>
  <c r="F31" i="33"/>
  <c r="H32" i="33"/>
  <c r="G32" i="33"/>
  <c r="F32" i="33"/>
  <c r="G75" i="31"/>
  <c r="I75" i="31"/>
  <c r="J75" i="31" s="1"/>
  <c r="I76" i="31"/>
  <c r="J76" i="31" s="1"/>
  <c r="G76" i="31"/>
  <c r="F66" i="31"/>
  <c r="I66" i="31" s="1"/>
  <c r="J66" i="31" s="1"/>
  <c r="G63" i="31"/>
  <c r="G62" i="31"/>
  <c r="G53" i="31"/>
  <c r="G54" i="31"/>
  <c r="G57" i="31"/>
  <c r="I57" i="31"/>
  <c r="J57" i="31" s="1"/>
  <c r="I58" i="31"/>
  <c r="J58" i="31" s="1"/>
  <c r="G58" i="31"/>
  <c r="G45" i="31"/>
  <c r="E49" i="31"/>
  <c r="H49" i="31" s="1"/>
  <c r="J45" i="31"/>
  <c r="J46" i="31"/>
  <c r="J48" i="31"/>
  <c r="J47" i="31"/>
  <c r="G48" i="31"/>
  <c r="J44" i="31"/>
  <c r="H29" i="31"/>
  <c r="H28" i="31"/>
  <c r="H27" i="31"/>
  <c r="H24" i="31"/>
  <c r="H23" i="31"/>
  <c r="H22" i="31"/>
  <c r="H19" i="31"/>
  <c r="H18" i="31"/>
  <c r="H17" i="31"/>
  <c r="H16" i="31"/>
  <c r="H15" i="31"/>
  <c r="H14" i="31"/>
  <c r="H11" i="31"/>
  <c r="H10" i="31"/>
  <c r="H9" i="31"/>
  <c r="G29" i="31"/>
  <c r="G28" i="31"/>
  <c r="G27" i="31"/>
  <c r="G24" i="31"/>
  <c r="G23" i="31"/>
  <c r="G22" i="31"/>
  <c r="G19" i="31"/>
  <c r="G18" i="31"/>
  <c r="G17" i="31"/>
  <c r="G16" i="31"/>
  <c r="G15" i="31"/>
  <c r="G14" i="31"/>
  <c r="G11" i="31"/>
  <c r="G10" i="31"/>
  <c r="G9" i="31"/>
  <c r="F21" i="31"/>
  <c r="G21" i="31" s="1"/>
  <c r="E21" i="31"/>
  <c r="F31" i="31"/>
  <c r="G31" i="31" s="1"/>
  <c r="E31" i="31"/>
  <c r="F26" i="31"/>
  <c r="E26" i="31"/>
  <c r="F13" i="31"/>
  <c r="E13" i="31"/>
  <c r="F30" i="31"/>
  <c r="F38" i="31" s="1"/>
  <c r="E30" i="31"/>
  <c r="E38" i="31" s="1"/>
  <c r="H38" i="31" s="1"/>
  <c r="F25" i="31"/>
  <c r="H25" i="31" s="1"/>
  <c r="E25" i="31"/>
  <c r="E37" i="31" s="1"/>
  <c r="H37" i="31" s="1"/>
  <c r="F20" i="31"/>
  <c r="E20" i="31"/>
  <c r="E36" i="31" s="1"/>
  <c r="F12" i="31"/>
  <c r="F35" i="31" s="1"/>
  <c r="E12" i="31"/>
  <c r="E35" i="31" s="1"/>
  <c r="L8" i="35" l="1"/>
  <c r="A15" i="38"/>
  <c r="AP8" i="36" s="1"/>
  <c r="G13" i="31"/>
  <c r="G26" i="31"/>
  <c r="J49" i="31"/>
  <c r="G66" i="31"/>
  <c r="I67" i="31"/>
  <c r="J67" i="31" s="1"/>
  <c r="G20" i="31"/>
  <c r="C13" i="37"/>
  <c r="AK11" i="35"/>
  <c r="AK12" i="35"/>
  <c r="N18" i="38"/>
  <c r="Y18" i="38"/>
  <c r="O18" i="38"/>
  <c r="Z18" i="38"/>
  <c r="X16" i="38"/>
  <c r="AA16" i="38" s="1"/>
  <c r="F16" i="38" s="1"/>
  <c r="L8" i="14"/>
  <c r="AT17" i="38"/>
  <c r="M17" i="38" s="1"/>
  <c r="P17" i="38" s="1"/>
  <c r="E17" i="38" s="1"/>
  <c r="U18" i="38"/>
  <c r="AR18" i="38"/>
  <c r="AS18" i="38" s="1"/>
  <c r="P16" i="38"/>
  <c r="E16" i="38" s="1"/>
  <c r="D16" i="38" s="1"/>
  <c r="H18" i="38"/>
  <c r="AE18" i="38"/>
  <c r="AC18" i="38"/>
  <c r="W18" i="38"/>
  <c r="AK17" i="38"/>
  <c r="AG18" i="38"/>
  <c r="AD18" i="38"/>
  <c r="AF18" i="38"/>
  <c r="T18" i="38"/>
  <c r="AH18" i="38"/>
  <c r="J18" i="38"/>
  <c r="S18" i="38"/>
  <c r="AI18" i="38"/>
  <c r="R18" i="38"/>
  <c r="I18" i="38"/>
  <c r="V18" i="38"/>
  <c r="AJ18" i="38"/>
  <c r="C19" i="38"/>
  <c r="C13" i="35"/>
  <c r="AF13" i="35" s="1"/>
  <c r="G38" i="31"/>
  <c r="I38" i="31"/>
  <c r="J38" i="31" s="1"/>
  <c r="I35" i="31"/>
  <c r="G35" i="31"/>
  <c r="E39" i="31"/>
  <c r="H39" i="31" s="1"/>
  <c r="H35" i="31"/>
  <c r="E40" i="31"/>
  <c r="H40" i="31" s="1"/>
  <c r="H36" i="31"/>
  <c r="G25" i="31"/>
  <c r="H26" i="31"/>
  <c r="F36" i="31"/>
  <c r="G49" i="31"/>
  <c r="H12" i="31"/>
  <c r="H20" i="31"/>
  <c r="G12" i="31"/>
  <c r="H13" i="31"/>
  <c r="H21" i="31"/>
  <c r="F37" i="31"/>
  <c r="H30" i="31"/>
  <c r="G30" i="31"/>
  <c r="H31" i="31"/>
  <c r="AJ71" i="25"/>
  <c r="AI71" i="25"/>
  <c r="AH71" i="25"/>
  <c r="AG71" i="25"/>
  <c r="AF71" i="25"/>
  <c r="AK6" i="25"/>
  <c r="AJ71" i="24"/>
  <c r="AI71" i="24"/>
  <c r="AH71" i="24"/>
  <c r="AG71" i="24"/>
  <c r="AF71" i="24"/>
  <c r="AK6" i="24"/>
  <c r="AJ71" i="23"/>
  <c r="AI71" i="23"/>
  <c r="AH71" i="23"/>
  <c r="AG71" i="23"/>
  <c r="AF71" i="23"/>
  <c r="AJ71" i="22"/>
  <c r="AI71" i="22"/>
  <c r="AH71" i="22"/>
  <c r="AG71" i="22"/>
  <c r="AF71" i="22"/>
  <c r="AJ71" i="21"/>
  <c r="AI71" i="21"/>
  <c r="AH71" i="21"/>
  <c r="AG71" i="21"/>
  <c r="AF71" i="21"/>
  <c r="AE70" i="21"/>
  <c r="AK70" i="21" s="1"/>
  <c r="AE69" i="21"/>
  <c r="AK69" i="21" s="1"/>
  <c r="AE68" i="21"/>
  <c r="AK68" i="21" s="1"/>
  <c r="AE67" i="21"/>
  <c r="AK67" i="21" s="1"/>
  <c r="AE66" i="21"/>
  <c r="AK66" i="21" s="1"/>
  <c r="AE65" i="21"/>
  <c r="AK65" i="21" s="1"/>
  <c r="AE64" i="21"/>
  <c r="AK64" i="21" s="1"/>
  <c r="AE63" i="21"/>
  <c r="AK63" i="21" s="1"/>
  <c r="AE62" i="21"/>
  <c r="AK62" i="21" s="1"/>
  <c r="AE61" i="21"/>
  <c r="AK61" i="21" s="1"/>
  <c r="AE60" i="21"/>
  <c r="AK60" i="21" s="1"/>
  <c r="AE59" i="21"/>
  <c r="AK59" i="21" s="1"/>
  <c r="AE58" i="21"/>
  <c r="AK58" i="21" s="1"/>
  <c r="AE57" i="21"/>
  <c r="AK57" i="21" s="1"/>
  <c r="AE56" i="21"/>
  <c r="AK56" i="21" s="1"/>
  <c r="AE55" i="21"/>
  <c r="AK55" i="21" s="1"/>
  <c r="AE54" i="21"/>
  <c r="AK54" i="21" s="1"/>
  <c r="AE53" i="21"/>
  <c r="AK53" i="21" s="1"/>
  <c r="AE52" i="21"/>
  <c r="AK52" i="21" s="1"/>
  <c r="AE51" i="21"/>
  <c r="AK51" i="21" s="1"/>
  <c r="AE50" i="21"/>
  <c r="AK50" i="21" s="1"/>
  <c r="AE49" i="21"/>
  <c r="AK49" i="21" s="1"/>
  <c r="AE48" i="21"/>
  <c r="AK48" i="21" s="1"/>
  <c r="AE47" i="21"/>
  <c r="AK47" i="21" s="1"/>
  <c r="AE46" i="21"/>
  <c r="AK46" i="21" s="1"/>
  <c r="AE45" i="21"/>
  <c r="AK45" i="21" s="1"/>
  <c r="AE44" i="21"/>
  <c r="AK44" i="21" s="1"/>
  <c r="AE43" i="21"/>
  <c r="AK43" i="21" s="1"/>
  <c r="AE42" i="21"/>
  <c r="AK42" i="21" s="1"/>
  <c r="AE41" i="21"/>
  <c r="AK41" i="21" s="1"/>
  <c r="AE40" i="21"/>
  <c r="AK40" i="21" s="1"/>
  <c r="AE39" i="21"/>
  <c r="AK39" i="21" s="1"/>
  <c r="AE38" i="21"/>
  <c r="AK38" i="21" s="1"/>
  <c r="AE37" i="21"/>
  <c r="AK37" i="21" s="1"/>
  <c r="AE36" i="21"/>
  <c r="AK36" i="21" s="1"/>
  <c r="AE35" i="21"/>
  <c r="AK35" i="21" s="1"/>
  <c r="AE34" i="21"/>
  <c r="AK34" i="21" s="1"/>
  <c r="AE33" i="21"/>
  <c r="AK33" i="21" s="1"/>
  <c r="AE32" i="21"/>
  <c r="AK32" i="21" s="1"/>
  <c r="AE31" i="21"/>
  <c r="AK31" i="21" s="1"/>
  <c r="AE30" i="21"/>
  <c r="AK30" i="21" s="1"/>
  <c r="AE29" i="21"/>
  <c r="AK29" i="21" s="1"/>
  <c r="AE28" i="21"/>
  <c r="AK28" i="21" s="1"/>
  <c r="AE27" i="21"/>
  <c r="AK27" i="21" s="1"/>
  <c r="AE26" i="21"/>
  <c r="AK26" i="21" s="1"/>
  <c r="AE25" i="21"/>
  <c r="AK25" i="21" s="1"/>
  <c r="AE24" i="21"/>
  <c r="AK24" i="21" s="1"/>
  <c r="AE23" i="21"/>
  <c r="AK23" i="21" s="1"/>
  <c r="AE22" i="21"/>
  <c r="AK22" i="21" s="1"/>
  <c r="AE21" i="21"/>
  <c r="AK21" i="21" s="1"/>
  <c r="AE20" i="21"/>
  <c r="AK20" i="21" s="1"/>
  <c r="AE19" i="21"/>
  <c r="AK19" i="21" s="1"/>
  <c r="AE18" i="21"/>
  <c r="AK18" i="21" s="1"/>
  <c r="AE17" i="21"/>
  <c r="AK17" i="21" s="1"/>
  <c r="AE16" i="21"/>
  <c r="AK16" i="21" s="1"/>
  <c r="AE15" i="21"/>
  <c r="AK15" i="21" s="1"/>
  <c r="AE14" i="21"/>
  <c r="AK14" i="21" s="1"/>
  <c r="AE13" i="21"/>
  <c r="AK13" i="21" s="1"/>
  <c r="AE12" i="21"/>
  <c r="AK12" i="21" s="1"/>
  <c r="AE11" i="21"/>
  <c r="AK11" i="21" s="1"/>
  <c r="AE10" i="21"/>
  <c r="AK10" i="21" s="1"/>
  <c r="AE9" i="21"/>
  <c r="AK9" i="21" s="1"/>
  <c r="AE8" i="21"/>
  <c r="AK8" i="21" s="1"/>
  <c r="AE7" i="21"/>
  <c r="AK7" i="21" s="1"/>
  <c r="AE6" i="21"/>
  <c r="AK6" i="21" s="1"/>
  <c r="AE70" i="20"/>
  <c r="AK70" i="20" s="1"/>
  <c r="AE69" i="20"/>
  <c r="AK69" i="20" s="1"/>
  <c r="AE68" i="20"/>
  <c r="AK68" i="20" s="1"/>
  <c r="AE67" i="20"/>
  <c r="AK67" i="20" s="1"/>
  <c r="AE66" i="20"/>
  <c r="AK66" i="20" s="1"/>
  <c r="AE65" i="20"/>
  <c r="AK65" i="20" s="1"/>
  <c r="AE64" i="20"/>
  <c r="AK64" i="20" s="1"/>
  <c r="AE63" i="20"/>
  <c r="AK63" i="20" s="1"/>
  <c r="AE62" i="20"/>
  <c r="AK62" i="20" s="1"/>
  <c r="AE61" i="20"/>
  <c r="AK61" i="20" s="1"/>
  <c r="AE60" i="20"/>
  <c r="AK60" i="20" s="1"/>
  <c r="AE59" i="20"/>
  <c r="AK59" i="20" s="1"/>
  <c r="AE58" i="20"/>
  <c r="AK58" i="20" s="1"/>
  <c r="AE57" i="20"/>
  <c r="AK57" i="20" s="1"/>
  <c r="AE56" i="20"/>
  <c r="AK56" i="20" s="1"/>
  <c r="AE55" i="20"/>
  <c r="AK55" i="20" s="1"/>
  <c r="AE54" i="20"/>
  <c r="AK54" i="20" s="1"/>
  <c r="AE53" i="20"/>
  <c r="AK53" i="20" s="1"/>
  <c r="AE52" i="20"/>
  <c r="AK52" i="20" s="1"/>
  <c r="AE51" i="20"/>
  <c r="AK51" i="20" s="1"/>
  <c r="AE50" i="20"/>
  <c r="AK50" i="20" s="1"/>
  <c r="AE49" i="20"/>
  <c r="AK49" i="20" s="1"/>
  <c r="AE48" i="20"/>
  <c r="AK48" i="20" s="1"/>
  <c r="AE47" i="20"/>
  <c r="AK47" i="20" s="1"/>
  <c r="AE46" i="20"/>
  <c r="AK46" i="20" s="1"/>
  <c r="AE45" i="20"/>
  <c r="AK45" i="20" s="1"/>
  <c r="AE44" i="20"/>
  <c r="AK44" i="20" s="1"/>
  <c r="AE43" i="20"/>
  <c r="AK43" i="20" s="1"/>
  <c r="AE42" i="20"/>
  <c r="AK42" i="20" s="1"/>
  <c r="AE41" i="20"/>
  <c r="AK41" i="20" s="1"/>
  <c r="AE40" i="20"/>
  <c r="AK40" i="20" s="1"/>
  <c r="AE39" i="20"/>
  <c r="AK39" i="20" s="1"/>
  <c r="AE38" i="20"/>
  <c r="AK38" i="20" s="1"/>
  <c r="AE37" i="20"/>
  <c r="AK37" i="20" s="1"/>
  <c r="AE36" i="20"/>
  <c r="AK36" i="20" s="1"/>
  <c r="AE35" i="20"/>
  <c r="AK35" i="20" s="1"/>
  <c r="AE34" i="20"/>
  <c r="AK34" i="20" s="1"/>
  <c r="AE33" i="20"/>
  <c r="AK33" i="20" s="1"/>
  <c r="AE32" i="20"/>
  <c r="AK32" i="20" s="1"/>
  <c r="AE31" i="20"/>
  <c r="AK31" i="20" s="1"/>
  <c r="AE30" i="20"/>
  <c r="AK30" i="20" s="1"/>
  <c r="AE29" i="20"/>
  <c r="AK29" i="20" s="1"/>
  <c r="AE28" i="20"/>
  <c r="AK28" i="20" s="1"/>
  <c r="AE27" i="20"/>
  <c r="AK27" i="20" s="1"/>
  <c r="AE26" i="20"/>
  <c r="AK26" i="20" s="1"/>
  <c r="AE25" i="20"/>
  <c r="AK25" i="20" s="1"/>
  <c r="AE24" i="20"/>
  <c r="AK24" i="20" s="1"/>
  <c r="AE23" i="20"/>
  <c r="AK23" i="20" s="1"/>
  <c r="AE22" i="20"/>
  <c r="AK22" i="20" s="1"/>
  <c r="AE21" i="20"/>
  <c r="AK21" i="20" s="1"/>
  <c r="AE20" i="20"/>
  <c r="AK20" i="20" s="1"/>
  <c r="AE19" i="20"/>
  <c r="AK19" i="20" s="1"/>
  <c r="AE18" i="20"/>
  <c r="AK18" i="20" s="1"/>
  <c r="AE17" i="20"/>
  <c r="AK17" i="20" s="1"/>
  <c r="AE16" i="20"/>
  <c r="AK16" i="20" s="1"/>
  <c r="AE15" i="20"/>
  <c r="AK15" i="20" s="1"/>
  <c r="AE14" i="20"/>
  <c r="AK14" i="20" s="1"/>
  <c r="AE13" i="20"/>
  <c r="AK13" i="20" s="1"/>
  <c r="AE12" i="20"/>
  <c r="AK12" i="20" s="1"/>
  <c r="AE11" i="20"/>
  <c r="AK11" i="20" s="1"/>
  <c r="AE10" i="20"/>
  <c r="AK10" i="20" s="1"/>
  <c r="AE9" i="20"/>
  <c r="AK9" i="20" s="1"/>
  <c r="AE8" i="20"/>
  <c r="AK8" i="20" s="1"/>
  <c r="AE7" i="20"/>
  <c r="AK7" i="20" s="1"/>
  <c r="AE6" i="20"/>
  <c r="L9" i="35" l="1"/>
  <c r="L9" i="14" s="1"/>
  <c r="A16" i="38"/>
  <c r="AP9" i="36" s="1"/>
  <c r="AK6" i="20"/>
  <c r="C14" i="37"/>
  <c r="AF12" i="14"/>
  <c r="AF13" i="14"/>
  <c r="Y19" i="38"/>
  <c r="N19" i="38"/>
  <c r="AR19" i="38"/>
  <c r="AS19" i="38" s="1"/>
  <c r="AT19" i="38" s="1"/>
  <c r="O19" i="38"/>
  <c r="Z19" i="38"/>
  <c r="X17" i="38"/>
  <c r="AA17" i="38" s="1"/>
  <c r="F17" i="38" s="1"/>
  <c r="AT18" i="38"/>
  <c r="X18" i="38" s="1"/>
  <c r="AA18" i="38" s="1"/>
  <c r="F18" i="38" s="1"/>
  <c r="J19" i="38"/>
  <c r="AK18" i="38"/>
  <c r="AH19" i="38"/>
  <c r="S19" i="38"/>
  <c r="AF19" i="38"/>
  <c r="W19" i="38"/>
  <c r="AD19" i="38"/>
  <c r="R19" i="38"/>
  <c r="AJ19" i="38"/>
  <c r="T19" i="38"/>
  <c r="AE19" i="38"/>
  <c r="U19" i="38"/>
  <c r="H19" i="38"/>
  <c r="AI19" i="38"/>
  <c r="V19" i="38"/>
  <c r="AC19" i="38"/>
  <c r="I19" i="38"/>
  <c r="AG19" i="38"/>
  <c r="C20" i="38"/>
  <c r="D17" i="38"/>
  <c r="C14" i="35"/>
  <c r="AF14" i="35" s="1"/>
  <c r="I36" i="31"/>
  <c r="J36" i="31" s="1"/>
  <c r="G36" i="31"/>
  <c r="F40" i="31"/>
  <c r="J35" i="31"/>
  <c r="G37" i="31"/>
  <c r="I37" i="31"/>
  <c r="J37" i="31" s="1"/>
  <c r="F39" i="31"/>
  <c r="AK71" i="21"/>
  <c r="AE71" i="21"/>
  <c r="L10" i="35" l="1"/>
  <c r="L10" i="14" s="1"/>
  <c r="A17" i="38"/>
  <c r="AP10" i="36" s="1"/>
  <c r="C15" i="37"/>
  <c r="AK13" i="35"/>
  <c r="AF14" i="14"/>
  <c r="N20" i="38"/>
  <c r="Y20" i="38"/>
  <c r="Z20" i="38"/>
  <c r="O20" i="38"/>
  <c r="M18" i="38"/>
  <c r="P18" i="38" s="1"/>
  <c r="E18" i="38" s="1"/>
  <c r="D18" i="38" s="1"/>
  <c r="U20" i="38"/>
  <c r="AR20" i="38"/>
  <c r="AS20" i="38" s="1"/>
  <c r="AT20" i="38" s="1"/>
  <c r="I20" i="38"/>
  <c r="X19" i="38"/>
  <c r="AA19" i="38" s="1"/>
  <c r="F19" i="38" s="1"/>
  <c r="M19" i="38"/>
  <c r="P19" i="38" s="1"/>
  <c r="E19" i="38" s="1"/>
  <c r="AF20" i="38"/>
  <c r="H20" i="38"/>
  <c r="AH20" i="38"/>
  <c r="AG20" i="38"/>
  <c r="AJ20" i="38"/>
  <c r="AC20" i="38"/>
  <c r="AI20" i="38"/>
  <c r="W20" i="38"/>
  <c r="AD20" i="38"/>
  <c r="V20" i="38"/>
  <c r="AK19" i="38"/>
  <c r="AE20" i="38"/>
  <c r="S20" i="38"/>
  <c r="J20" i="38"/>
  <c r="R20" i="38"/>
  <c r="T20" i="38"/>
  <c r="C21" i="38"/>
  <c r="C15" i="35"/>
  <c r="AF15" i="35" s="1"/>
  <c r="I40" i="31"/>
  <c r="J40" i="31" s="1"/>
  <c r="G40" i="31"/>
  <c r="G39" i="31"/>
  <c r="I39" i="31"/>
  <c r="J39" i="31" s="1"/>
  <c r="L11" i="35" l="1"/>
  <c r="L11" i="14" s="1"/>
  <c r="A18" i="38"/>
  <c r="AP11" i="36" s="1"/>
  <c r="C16" i="37"/>
  <c r="AK14" i="35"/>
  <c r="AF15" i="14"/>
  <c r="Y21" i="38"/>
  <c r="N21" i="38"/>
  <c r="O21" i="38"/>
  <c r="Z21" i="38"/>
  <c r="AR21" i="38"/>
  <c r="AS21" i="38" s="1"/>
  <c r="X20" i="38"/>
  <c r="AA20" i="38" s="1"/>
  <c r="F20" i="38" s="1"/>
  <c r="M20" i="38"/>
  <c r="P20" i="38" s="1"/>
  <c r="E20" i="38" s="1"/>
  <c r="AK20" i="38"/>
  <c r="D19" i="38"/>
  <c r="I21" i="38"/>
  <c r="AJ21" i="38"/>
  <c r="AD21" i="38"/>
  <c r="AH21" i="38"/>
  <c r="S21" i="38"/>
  <c r="AF21" i="38"/>
  <c r="AI21" i="38"/>
  <c r="AC21" i="38"/>
  <c r="T21" i="38"/>
  <c r="H21" i="38"/>
  <c r="U21" i="38"/>
  <c r="W21" i="38"/>
  <c r="J21" i="38"/>
  <c r="V21" i="38"/>
  <c r="AG21" i="38"/>
  <c r="R21" i="38"/>
  <c r="AE21" i="38"/>
  <c r="C22" i="38"/>
  <c r="C16" i="35"/>
  <c r="AF16" i="35" s="1"/>
  <c r="C7" i="25"/>
  <c r="L12" i="35" l="1"/>
  <c r="L12" i="14" s="1"/>
  <c r="A19" i="38"/>
  <c r="AP12" i="36" s="1"/>
  <c r="C17" i="37"/>
  <c r="AE7" i="25"/>
  <c r="W7" i="25"/>
  <c r="P7" i="25"/>
  <c r="O7" i="25"/>
  <c r="M7" i="25"/>
  <c r="N7" i="25"/>
  <c r="Q7" i="25"/>
  <c r="AK15" i="35"/>
  <c r="AF16" i="14"/>
  <c r="Y22" i="38"/>
  <c r="N22" i="38"/>
  <c r="C8" i="25"/>
  <c r="O22" i="38"/>
  <c r="Z22" i="38"/>
  <c r="S22" i="38"/>
  <c r="AR22" i="38"/>
  <c r="AS22" i="38" s="1"/>
  <c r="AT22" i="38" s="1"/>
  <c r="AT21" i="38"/>
  <c r="X21" i="38" s="1"/>
  <c r="AA21" i="38" s="1"/>
  <c r="F21" i="38" s="1"/>
  <c r="AF22" i="38"/>
  <c r="AG22" i="38"/>
  <c r="AE22" i="38"/>
  <c r="T22" i="38"/>
  <c r="W22" i="38"/>
  <c r="H22" i="38"/>
  <c r="AJ22" i="38"/>
  <c r="AI22" i="38"/>
  <c r="AD22" i="38"/>
  <c r="J22" i="38"/>
  <c r="V22" i="38"/>
  <c r="U22" i="38"/>
  <c r="AK21" i="38"/>
  <c r="D20" i="38"/>
  <c r="R22" i="38"/>
  <c r="AH22" i="38"/>
  <c r="I22" i="38"/>
  <c r="AC22" i="38"/>
  <c r="C23" i="38"/>
  <c r="C17" i="35"/>
  <c r="AF17" i="35" s="1"/>
  <c r="W67" i="21"/>
  <c r="AC67" i="21" s="1"/>
  <c r="W66" i="20"/>
  <c r="W65" i="20"/>
  <c r="W64" i="20"/>
  <c r="AC64" i="20" s="1"/>
  <c r="W63" i="20"/>
  <c r="W58" i="20"/>
  <c r="W57" i="20"/>
  <c r="W56" i="20"/>
  <c r="W55" i="20"/>
  <c r="W50" i="20"/>
  <c r="W49" i="20"/>
  <c r="W48" i="20"/>
  <c r="AC48" i="20" s="1"/>
  <c r="W47" i="20"/>
  <c r="W42" i="20"/>
  <c r="W41" i="20"/>
  <c r="W40" i="20"/>
  <c r="AC40" i="20" s="1"/>
  <c r="W39" i="20"/>
  <c r="W34" i="20"/>
  <c r="W33" i="20"/>
  <c r="W32" i="20"/>
  <c r="AC32" i="20" s="1"/>
  <c r="W31" i="20"/>
  <c r="W28" i="20"/>
  <c r="AC28" i="20" s="1"/>
  <c r="W26" i="20"/>
  <c r="W25" i="20"/>
  <c r="W24" i="20"/>
  <c r="AC24" i="20" s="1"/>
  <c r="W23" i="20"/>
  <c r="W20" i="20"/>
  <c r="AC20" i="20" s="1"/>
  <c r="W18" i="20"/>
  <c r="W17" i="20"/>
  <c r="W16" i="20"/>
  <c r="W15" i="20"/>
  <c r="W12" i="20"/>
  <c r="W10" i="20"/>
  <c r="W9" i="20"/>
  <c r="W8" i="20"/>
  <c r="AC8" i="20" s="1"/>
  <c r="W7" i="20"/>
  <c r="W70" i="20"/>
  <c r="N70" i="21"/>
  <c r="N69" i="21"/>
  <c r="N68" i="21"/>
  <c r="N67" i="21"/>
  <c r="N66" i="21"/>
  <c r="Q65" i="21"/>
  <c r="N65" i="21"/>
  <c r="N64" i="21"/>
  <c r="M64" i="21"/>
  <c r="N63" i="21"/>
  <c r="N62" i="21"/>
  <c r="N61" i="21"/>
  <c r="M61" i="21"/>
  <c r="N60" i="21"/>
  <c r="N59" i="21"/>
  <c r="N58" i="21"/>
  <c r="N57" i="21"/>
  <c r="N56" i="21"/>
  <c r="N55" i="21"/>
  <c r="N54" i="21"/>
  <c r="N53" i="21"/>
  <c r="N52" i="21"/>
  <c r="M52" i="21"/>
  <c r="N51" i="21"/>
  <c r="M51" i="21"/>
  <c r="N50" i="21"/>
  <c r="P49" i="21"/>
  <c r="N49" i="21"/>
  <c r="Q48" i="21"/>
  <c r="N48" i="21"/>
  <c r="N47" i="21"/>
  <c r="M47" i="21"/>
  <c r="N46" i="21"/>
  <c r="Q45" i="21"/>
  <c r="N45" i="21"/>
  <c r="N44" i="21"/>
  <c r="M44" i="21"/>
  <c r="N43" i="21"/>
  <c r="M43" i="21"/>
  <c r="N42" i="21"/>
  <c r="N41" i="21"/>
  <c r="M41" i="21"/>
  <c r="N40" i="21"/>
  <c r="M40" i="21"/>
  <c r="N39" i="21"/>
  <c r="N38" i="21"/>
  <c r="N37" i="21"/>
  <c r="N36" i="21"/>
  <c r="N35" i="21"/>
  <c r="P34" i="21"/>
  <c r="N34" i="21"/>
  <c r="Q33" i="21"/>
  <c r="N33" i="21"/>
  <c r="N32" i="21"/>
  <c r="M32" i="21"/>
  <c r="N31" i="21"/>
  <c r="N30" i="21"/>
  <c r="N29" i="21"/>
  <c r="M29" i="21"/>
  <c r="N28" i="21"/>
  <c r="N27" i="21"/>
  <c r="N26" i="21"/>
  <c r="N25" i="21"/>
  <c r="N24" i="21"/>
  <c r="N23" i="21"/>
  <c r="N22" i="21"/>
  <c r="N21" i="21"/>
  <c r="N20" i="21"/>
  <c r="M20" i="21"/>
  <c r="N19" i="21"/>
  <c r="M19" i="21"/>
  <c r="N18" i="21"/>
  <c r="P17" i="21"/>
  <c r="N17" i="21"/>
  <c r="M17" i="21"/>
  <c r="Q16" i="21"/>
  <c r="N16" i="21"/>
  <c r="N15" i="21"/>
  <c r="M15" i="21"/>
  <c r="N14" i="21"/>
  <c r="Q13" i="21"/>
  <c r="N13" i="21"/>
  <c r="N12" i="21"/>
  <c r="M12" i="21"/>
  <c r="N11" i="21"/>
  <c r="M11" i="21"/>
  <c r="N10" i="21"/>
  <c r="N9" i="21"/>
  <c r="M9" i="21"/>
  <c r="Q8" i="21"/>
  <c r="N8" i="21"/>
  <c r="M8" i="21"/>
  <c r="N7" i="21"/>
  <c r="M7" i="21"/>
  <c r="N6" i="21"/>
  <c r="Q56" i="21"/>
  <c r="O69" i="21"/>
  <c r="M70" i="21"/>
  <c r="N70" i="20"/>
  <c r="M70" i="20"/>
  <c r="N69" i="20"/>
  <c r="O68" i="20"/>
  <c r="N68" i="20"/>
  <c r="M68" i="20"/>
  <c r="N67" i="20"/>
  <c r="Q66" i="20"/>
  <c r="O66" i="20"/>
  <c r="N66" i="20"/>
  <c r="N65" i="20"/>
  <c r="Q64" i="20"/>
  <c r="N64" i="20"/>
  <c r="N63" i="20"/>
  <c r="N62" i="20"/>
  <c r="M62" i="20"/>
  <c r="N61" i="20"/>
  <c r="O60" i="20"/>
  <c r="N60" i="20"/>
  <c r="M60" i="20"/>
  <c r="N59" i="20"/>
  <c r="Q58" i="20"/>
  <c r="O58" i="20"/>
  <c r="N58" i="20"/>
  <c r="N57" i="20"/>
  <c r="Q56" i="20"/>
  <c r="N56" i="20"/>
  <c r="N55" i="20"/>
  <c r="N54" i="20"/>
  <c r="M54" i="20"/>
  <c r="N53" i="20"/>
  <c r="O52" i="20"/>
  <c r="N52" i="20"/>
  <c r="M52" i="20"/>
  <c r="N51" i="20"/>
  <c r="Q50" i="20"/>
  <c r="O50" i="20"/>
  <c r="N50" i="20"/>
  <c r="O49" i="20"/>
  <c r="N49" i="20"/>
  <c r="Q48" i="20"/>
  <c r="N48" i="20"/>
  <c r="Q47" i="20"/>
  <c r="N47" i="20"/>
  <c r="N46" i="20"/>
  <c r="M46" i="20"/>
  <c r="N45" i="20"/>
  <c r="O44" i="20"/>
  <c r="N44" i="20"/>
  <c r="M44" i="20"/>
  <c r="N43" i="20"/>
  <c r="M43" i="20"/>
  <c r="Q42" i="20"/>
  <c r="O42" i="20"/>
  <c r="N42" i="20"/>
  <c r="O41" i="20"/>
  <c r="N41" i="20"/>
  <c r="Q40" i="20"/>
  <c r="N40" i="20"/>
  <c r="Q39" i="20"/>
  <c r="N39" i="20"/>
  <c r="N38" i="20"/>
  <c r="M38" i="20"/>
  <c r="N37" i="20"/>
  <c r="O36" i="20"/>
  <c r="N36" i="20"/>
  <c r="M36" i="20"/>
  <c r="N35" i="20"/>
  <c r="M35" i="20"/>
  <c r="Q34" i="20"/>
  <c r="O34" i="20"/>
  <c r="N34" i="20"/>
  <c r="O33" i="20"/>
  <c r="N33" i="20"/>
  <c r="Q32" i="20"/>
  <c r="N32" i="20"/>
  <c r="Q31" i="20"/>
  <c r="N31" i="20"/>
  <c r="N30" i="20"/>
  <c r="M30" i="20"/>
  <c r="N29" i="20"/>
  <c r="O28" i="20"/>
  <c r="N28" i="20"/>
  <c r="M28" i="20"/>
  <c r="N27" i="20"/>
  <c r="M27" i="20"/>
  <c r="Q26" i="20"/>
  <c r="O26" i="20"/>
  <c r="N26" i="20"/>
  <c r="O25" i="20"/>
  <c r="N25" i="20"/>
  <c r="Q24" i="20"/>
  <c r="N24" i="20"/>
  <c r="Q23" i="20"/>
  <c r="N23" i="20"/>
  <c r="N22" i="20"/>
  <c r="M22" i="20"/>
  <c r="N21" i="20"/>
  <c r="O20" i="20"/>
  <c r="N20" i="20"/>
  <c r="M20" i="20"/>
  <c r="N19" i="20"/>
  <c r="M19" i="20"/>
  <c r="Q18" i="20"/>
  <c r="O18" i="20"/>
  <c r="N18" i="20"/>
  <c r="O17" i="20"/>
  <c r="N17" i="20"/>
  <c r="Q16" i="20"/>
  <c r="N16" i="20"/>
  <c r="Q15" i="20"/>
  <c r="N15" i="20"/>
  <c r="N14" i="20"/>
  <c r="M14" i="20"/>
  <c r="N13" i="20"/>
  <c r="O12" i="20"/>
  <c r="N12" i="20"/>
  <c r="M12" i="20"/>
  <c r="N11" i="20"/>
  <c r="M11" i="20"/>
  <c r="Q10" i="20"/>
  <c r="O10" i="20"/>
  <c r="N10" i="20"/>
  <c r="O9" i="20"/>
  <c r="N9" i="20"/>
  <c r="Q8" i="20"/>
  <c r="O8" i="20"/>
  <c r="N8" i="20"/>
  <c r="Q7" i="20"/>
  <c r="N7" i="20"/>
  <c r="Q6" i="20"/>
  <c r="N6" i="20"/>
  <c r="M6" i="20"/>
  <c r="Q67" i="20"/>
  <c r="P64" i="20"/>
  <c r="O69" i="20"/>
  <c r="M63" i="20"/>
  <c r="C6" i="14"/>
  <c r="B6" i="14"/>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C6" i="21"/>
  <c r="C6" i="20"/>
  <c r="B6" i="35" s="1"/>
  <c r="AB71" i="25"/>
  <c r="V71" i="25"/>
  <c r="S71" i="25"/>
  <c r="L71" i="25"/>
  <c r="K71" i="25"/>
  <c r="I71" i="25"/>
  <c r="H71" i="25"/>
  <c r="F71" i="25"/>
  <c r="D71" i="25"/>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AB71" i="24"/>
  <c r="V71" i="24"/>
  <c r="S71" i="24"/>
  <c r="L71" i="24"/>
  <c r="K71" i="24"/>
  <c r="I71" i="24"/>
  <c r="H71" i="24"/>
  <c r="F71" i="24"/>
  <c r="D71" i="24"/>
  <c r="B7" i="24"/>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AB71" i="23"/>
  <c r="V71" i="23"/>
  <c r="S71" i="23"/>
  <c r="L71" i="23"/>
  <c r="K71" i="23"/>
  <c r="I71" i="23"/>
  <c r="H71" i="23"/>
  <c r="F71" i="23"/>
  <c r="D71" i="23"/>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AB71" i="22"/>
  <c r="V71" i="22"/>
  <c r="S71" i="22"/>
  <c r="L71" i="22"/>
  <c r="K71" i="22"/>
  <c r="I71" i="22"/>
  <c r="H71" i="22"/>
  <c r="F71" i="22"/>
  <c r="D71" i="22"/>
  <c r="B7" i="22"/>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AB71" i="21"/>
  <c r="AA71" i="21"/>
  <c r="Z71" i="21"/>
  <c r="Y71" i="21"/>
  <c r="X71" i="21"/>
  <c r="V71" i="21"/>
  <c r="S71" i="21"/>
  <c r="L71" i="21"/>
  <c r="K71" i="21"/>
  <c r="B7" i="2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AJ71" i="20"/>
  <c r="AI71" i="20"/>
  <c r="AG71" i="20"/>
  <c r="AE71" i="20"/>
  <c r="AB71" i="20"/>
  <c r="AA71" i="20"/>
  <c r="Z71" i="20"/>
  <c r="Y71" i="20"/>
  <c r="S71" i="20"/>
  <c r="K71" i="20"/>
  <c r="F71" i="20"/>
  <c r="B7" i="20"/>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13" i="38" l="1"/>
  <c r="B7" i="35"/>
  <c r="L13" i="35"/>
  <c r="L13" i="14" s="1"/>
  <c r="A20" i="38"/>
  <c r="AP13" i="36" s="1"/>
  <c r="DG74" i="26"/>
  <c r="CW74" i="26"/>
  <c r="CW73" i="26"/>
  <c r="DG73" i="26"/>
  <c r="C7" i="14"/>
  <c r="C8" i="14" s="1"/>
  <c r="C9" i="14" s="1"/>
  <c r="C10" i="14" s="1"/>
  <c r="C11" i="14" s="1"/>
  <c r="AW72" i="20"/>
  <c r="D6" i="20"/>
  <c r="AV72" i="21"/>
  <c r="D6" i="21"/>
  <c r="C18" i="37"/>
  <c r="AE8" i="25"/>
  <c r="AK8" i="25" s="1"/>
  <c r="M8" i="25"/>
  <c r="W8" i="25"/>
  <c r="Q8" i="25"/>
  <c r="O8" i="25"/>
  <c r="P8" i="25"/>
  <c r="N8" i="25"/>
  <c r="AK16" i="35"/>
  <c r="AF17" i="14"/>
  <c r="Y23" i="38"/>
  <c r="N23" i="38"/>
  <c r="C9" i="25"/>
  <c r="G6" i="21"/>
  <c r="T7" i="25"/>
  <c r="AK7" i="25"/>
  <c r="O23" i="38"/>
  <c r="Z23" i="38"/>
  <c r="R6" i="20"/>
  <c r="G6" i="20"/>
  <c r="M21" i="38"/>
  <c r="P21" i="38" s="1"/>
  <c r="E21" i="38" s="1"/>
  <c r="D21" i="38" s="1"/>
  <c r="V23" i="38"/>
  <c r="AR23" i="38"/>
  <c r="AS23" i="38" s="1"/>
  <c r="M22" i="38"/>
  <c r="P22" i="38" s="1"/>
  <c r="E22" i="38" s="1"/>
  <c r="X22" i="38"/>
  <c r="AA22" i="38" s="1"/>
  <c r="F22" i="38" s="1"/>
  <c r="J23" i="38"/>
  <c r="S23" i="38"/>
  <c r="H6" i="20"/>
  <c r="I6" i="20" s="1"/>
  <c r="C6" i="36"/>
  <c r="AG23" i="38"/>
  <c r="AJ23" i="38"/>
  <c r="AC23" i="38"/>
  <c r="I23" i="38"/>
  <c r="AK22" i="38"/>
  <c r="AE23" i="38"/>
  <c r="AF23" i="38"/>
  <c r="AD23" i="38"/>
  <c r="W23" i="38"/>
  <c r="AI23" i="38"/>
  <c r="R23" i="38"/>
  <c r="AH23" i="38"/>
  <c r="U23" i="38"/>
  <c r="H23" i="38"/>
  <c r="T23" i="38"/>
  <c r="C24" i="38"/>
  <c r="C18" i="35"/>
  <c r="AF18" i="35" s="1"/>
  <c r="Y6" i="22"/>
  <c r="X6" i="22"/>
  <c r="C7" i="24"/>
  <c r="P13" i="20"/>
  <c r="P21" i="20"/>
  <c r="P29" i="20"/>
  <c r="P37" i="20"/>
  <c r="P45" i="20"/>
  <c r="P53" i="20"/>
  <c r="P61" i="20"/>
  <c r="P69" i="20"/>
  <c r="O22" i="21"/>
  <c r="O54" i="21"/>
  <c r="W36" i="21"/>
  <c r="AC36" i="21" s="1"/>
  <c r="W68" i="21"/>
  <c r="AC68" i="21" s="1"/>
  <c r="O7" i="20"/>
  <c r="M9" i="20"/>
  <c r="P10" i="20"/>
  <c r="Q13" i="20"/>
  <c r="O15" i="20"/>
  <c r="M17" i="20"/>
  <c r="P18" i="20"/>
  <c r="Q21" i="20"/>
  <c r="O23" i="20"/>
  <c r="M25" i="20"/>
  <c r="P26" i="20"/>
  <c r="Q29" i="20"/>
  <c r="O31" i="20"/>
  <c r="M33" i="20"/>
  <c r="P34" i="20"/>
  <c r="Q37" i="20"/>
  <c r="O39" i="20"/>
  <c r="M41" i="20"/>
  <c r="P42" i="20"/>
  <c r="Q45" i="20"/>
  <c r="O47" i="20"/>
  <c r="M49" i="20"/>
  <c r="P50" i="20"/>
  <c r="Q53" i="20"/>
  <c r="O55" i="20"/>
  <c r="M57" i="20"/>
  <c r="P58" i="20"/>
  <c r="Q61" i="20"/>
  <c r="O63" i="20"/>
  <c r="M65" i="20"/>
  <c r="P66" i="20"/>
  <c r="Q69" i="20"/>
  <c r="M23" i="21"/>
  <c r="Q25" i="21"/>
  <c r="Q28" i="21"/>
  <c r="O31" i="21"/>
  <c r="M37" i="21"/>
  <c r="M49" i="21"/>
  <c r="M55" i="21"/>
  <c r="Q57" i="21"/>
  <c r="Q60" i="21"/>
  <c r="O63" i="21"/>
  <c r="M69" i="21"/>
  <c r="W8" i="21"/>
  <c r="AC8" i="21" s="1"/>
  <c r="W40" i="21"/>
  <c r="AC40" i="21" s="1"/>
  <c r="P7" i="20"/>
  <c r="P15" i="20"/>
  <c r="P23" i="20"/>
  <c r="P31" i="20"/>
  <c r="P39" i="20"/>
  <c r="P47" i="20"/>
  <c r="P55" i="20"/>
  <c r="P63" i="20"/>
  <c r="O14" i="21"/>
  <c r="O34" i="21"/>
  <c r="Q40" i="21"/>
  <c r="O43" i="21"/>
  <c r="O46" i="21"/>
  <c r="O51" i="21"/>
  <c r="O66" i="21"/>
  <c r="W12" i="21"/>
  <c r="AC12" i="21" s="1"/>
  <c r="W44" i="21"/>
  <c r="AC44" i="21" s="1"/>
  <c r="P12" i="20"/>
  <c r="P20" i="20"/>
  <c r="P28" i="20"/>
  <c r="P36" i="20"/>
  <c r="P44" i="20"/>
  <c r="M51" i="20"/>
  <c r="P52" i="20"/>
  <c r="Q55" i="20"/>
  <c r="O57" i="20"/>
  <c r="M59" i="20"/>
  <c r="P60" i="20"/>
  <c r="Q63" i="20"/>
  <c r="O65" i="20"/>
  <c r="M67" i="20"/>
  <c r="P68" i="20"/>
  <c r="O23" i="21"/>
  <c r="O26" i="21"/>
  <c r="O55" i="21"/>
  <c r="O58" i="21"/>
  <c r="P66" i="21"/>
  <c r="W16" i="21"/>
  <c r="AC16" i="21" s="1"/>
  <c r="W48" i="21"/>
  <c r="AC48" i="21" s="1"/>
  <c r="O19" i="21"/>
  <c r="O6" i="20"/>
  <c r="M8" i="20"/>
  <c r="P9" i="20"/>
  <c r="Q12" i="20"/>
  <c r="O14" i="20"/>
  <c r="M16" i="20"/>
  <c r="P17" i="20"/>
  <c r="Q20" i="20"/>
  <c r="O22" i="20"/>
  <c r="M24" i="20"/>
  <c r="P25" i="20"/>
  <c r="Q28" i="20"/>
  <c r="O30" i="20"/>
  <c r="M32" i="20"/>
  <c r="P33" i="20"/>
  <c r="Q36" i="20"/>
  <c r="O38" i="20"/>
  <c r="M40" i="20"/>
  <c r="P41" i="20"/>
  <c r="Q44" i="20"/>
  <c r="O46" i="20"/>
  <c r="M48" i="20"/>
  <c r="P49" i="20"/>
  <c r="Q52" i="20"/>
  <c r="O54" i="20"/>
  <c r="M56" i="20"/>
  <c r="P57" i="20"/>
  <c r="Q60" i="20"/>
  <c r="O62" i="20"/>
  <c r="M64" i="20"/>
  <c r="P65" i="20"/>
  <c r="Q68" i="20"/>
  <c r="O70" i="20"/>
  <c r="O6" i="21"/>
  <c r="Q17" i="21"/>
  <c r="M24" i="21"/>
  <c r="M27" i="21"/>
  <c r="Q29" i="21"/>
  <c r="Q32" i="21"/>
  <c r="M35" i="21"/>
  <c r="O38" i="21"/>
  <c r="Q49" i="21"/>
  <c r="M56" i="21"/>
  <c r="M59" i="21"/>
  <c r="Q61" i="21"/>
  <c r="Q64" i="21"/>
  <c r="M67" i="21"/>
  <c r="O70" i="21"/>
  <c r="W11" i="20"/>
  <c r="AC11" i="20" s="1"/>
  <c r="W19" i="20"/>
  <c r="AC19" i="20" s="1"/>
  <c r="W27" i="20"/>
  <c r="AC27" i="20" s="1"/>
  <c r="W35" i="20"/>
  <c r="W43" i="20"/>
  <c r="AC43" i="20" s="1"/>
  <c r="W51" i="20"/>
  <c r="AC51" i="20" s="1"/>
  <c r="W59" i="20"/>
  <c r="AC59" i="20" s="1"/>
  <c r="W67" i="20"/>
  <c r="AC67" i="20" s="1"/>
  <c r="W20" i="21"/>
  <c r="AC20" i="21" s="1"/>
  <c r="W52" i="21"/>
  <c r="AC52" i="21" s="1"/>
  <c r="O11" i="21"/>
  <c r="P6" i="20"/>
  <c r="Q9" i="20"/>
  <c r="O11" i="20"/>
  <c r="M13" i="20"/>
  <c r="P14" i="20"/>
  <c r="Q17" i="20"/>
  <c r="O19" i="20"/>
  <c r="M21" i="20"/>
  <c r="P22" i="20"/>
  <c r="Q25" i="20"/>
  <c r="O27" i="20"/>
  <c r="M29" i="20"/>
  <c r="P30" i="20"/>
  <c r="Q33" i="20"/>
  <c r="O35" i="20"/>
  <c r="M37" i="20"/>
  <c r="P38" i="20"/>
  <c r="Q41" i="20"/>
  <c r="O43" i="20"/>
  <c r="M45" i="20"/>
  <c r="P46" i="20"/>
  <c r="Q49" i="20"/>
  <c r="O51" i="20"/>
  <c r="M53" i="20"/>
  <c r="P54" i="20"/>
  <c r="Q57" i="20"/>
  <c r="O59" i="20"/>
  <c r="M61" i="20"/>
  <c r="P62" i="20"/>
  <c r="Q65" i="20"/>
  <c r="O67" i="20"/>
  <c r="M69" i="20"/>
  <c r="P70" i="20"/>
  <c r="Q9" i="21"/>
  <c r="Q12" i="21"/>
  <c r="O15" i="21"/>
  <c r="M21" i="21"/>
  <c r="M33" i="21"/>
  <c r="M39" i="21"/>
  <c r="Q41" i="21"/>
  <c r="Q44" i="21"/>
  <c r="O47" i="21"/>
  <c r="M53" i="21"/>
  <c r="M65" i="21"/>
  <c r="W36" i="20"/>
  <c r="AC36" i="20" s="1"/>
  <c r="W44" i="20"/>
  <c r="AC44" i="20" s="1"/>
  <c r="W52" i="20"/>
  <c r="AC52" i="20" s="1"/>
  <c r="W60" i="20"/>
  <c r="AC60" i="20" s="1"/>
  <c r="W68" i="20"/>
  <c r="AC68" i="20" s="1"/>
  <c r="W24" i="21"/>
  <c r="AC24" i="21" s="1"/>
  <c r="W56" i="21"/>
  <c r="AC56" i="21" s="1"/>
  <c r="M10" i="20"/>
  <c r="P11" i="20"/>
  <c r="Q14" i="20"/>
  <c r="O16" i="20"/>
  <c r="M18" i="20"/>
  <c r="P19" i="20"/>
  <c r="Q22" i="20"/>
  <c r="O24" i="20"/>
  <c r="M26" i="20"/>
  <c r="P27" i="20"/>
  <c r="Q30" i="20"/>
  <c r="O32" i="20"/>
  <c r="M34" i="20"/>
  <c r="P35" i="20"/>
  <c r="Q38" i="20"/>
  <c r="O40" i="20"/>
  <c r="M42" i="20"/>
  <c r="P43" i="20"/>
  <c r="Q46" i="20"/>
  <c r="O48" i="20"/>
  <c r="M50" i="20"/>
  <c r="P51" i="20"/>
  <c r="Q54" i="20"/>
  <c r="O56" i="20"/>
  <c r="M58" i="20"/>
  <c r="P59" i="20"/>
  <c r="Q62" i="20"/>
  <c r="O64" i="20"/>
  <c r="M66" i="20"/>
  <c r="P67" i="20"/>
  <c r="Q70" i="20"/>
  <c r="N71" i="21"/>
  <c r="M13" i="21"/>
  <c r="M16" i="21"/>
  <c r="O18" i="21"/>
  <c r="Q24" i="21"/>
  <c r="O27" i="21"/>
  <c r="O30" i="21"/>
  <c r="O35" i="21"/>
  <c r="M45" i="21"/>
  <c r="M48" i="21"/>
  <c r="O50" i="21"/>
  <c r="O59" i="21"/>
  <c r="O62" i="21"/>
  <c r="O67" i="21"/>
  <c r="W13" i="20"/>
  <c r="W21" i="20"/>
  <c r="AC21" i="20" s="1"/>
  <c r="W29" i="20"/>
  <c r="W37" i="20"/>
  <c r="AC37" i="20" s="1"/>
  <c r="W45" i="20"/>
  <c r="W53" i="20"/>
  <c r="W61" i="20"/>
  <c r="AC61" i="20" s="1"/>
  <c r="W69" i="20"/>
  <c r="W28" i="21"/>
  <c r="AC28" i="21" s="1"/>
  <c r="W60" i="21"/>
  <c r="AC60" i="21" s="1"/>
  <c r="M7" i="20"/>
  <c r="P8" i="20"/>
  <c r="Q11" i="20"/>
  <c r="O13" i="20"/>
  <c r="M15" i="20"/>
  <c r="P16" i="20"/>
  <c r="Q19" i="20"/>
  <c r="O21" i="20"/>
  <c r="M23" i="20"/>
  <c r="P24" i="20"/>
  <c r="Q27" i="20"/>
  <c r="O29" i="20"/>
  <c r="M31" i="20"/>
  <c r="P32" i="20"/>
  <c r="Q35" i="20"/>
  <c r="O37" i="20"/>
  <c r="M39" i="20"/>
  <c r="P40" i="20"/>
  <c r="Q43" i="20"/>
  <c r="O45" i="20"/>
  <c r="M47" i="20"/>
  <c r="P48" i="20"/>
  <c r="Q51" i="20"/>
  <c r="O53" i="20"/>
  <c r="M55" i="20"/>
  <c r="P56" i="20"/>
  <c r="Q59" i="20"/>
  <c r="O61" i="20"/>
  <c r="O7" i="21"/>
  <c r="O10" i="21"/>
  <c r="P18" i="21"/>
  <c r="M25" i="21"/>
  <c r="M28" i="21"/>
  <c r="M31" i="21"/>
  <c r="P33" i="21"/>
  <c r="M36" i="21"/>
  <c r="O39" i="21"/>
  <c r="O42" i="21"/>
  <c r="P50" i="21"/>
  <c r="M57" i="21"/>
  <c r="M60" i="21"/>
  <c r="M63" i="21"/>
  <c r="P65" i="21"/>
  <c r="M68" i="21"/>
  <c r="W6" i="20"/>
  <c r="W14" i="20"/>
  <c r="AC14" i="20" s="1"/>
  <c r="W22" i="20"/>
  <c r="W30" i="20"/>
  <c r="AC30" i="20" s="1"/>
  <c r="W38" i="20"/>
  <c r="W46" i="20"/>
  <c r="W54" i="20"/>
  <c r="AC54" i="20" s="1"/>
  <c r="W62" i="20"/>
  <c r="AC62" i="20" s="1"/>
  <c r="W32" i="21"/>
  <c r="AC32" i="21" s="1"/>
  <c r="W64" i="21"/>
  <c r="AC64" i="21" s="1"/>
  <c r="H6" i="21"/>
  <c r="I6" i="21" s="1"/>
  <c r="C7" i="21"/>
  <c r="D7" i="21" s="1"/>
  <c r="C7" i="20"/>
  <c r="D7" i="20" s="1"/>
  <c r="C7" i="22"/>
  <c r="C7" i="23"/>
  <c r="W9" i="21"/>
  <c r="AC9" i="21" s="1"/>
  <c r="W17" i="21"/>
  <c r="AC17" i="21" s="1"/>
  <c r="W21" i="21"/>
  <c r="AC21" i="21" s="1"/>
  <c r="W25" i="21"/>
  <c r="AC25" i="21" s="1"/>
  <c r="W29" i="21"/>
  <c r="AC29" i="21" s="1"/>
  <c r="W33" i="21"/>
  <c r="AC33" i="21" s="1"/>
  <c r="W37" i="21"/>
  <c r="AC37" i="21" s="1"/>
  <c r="W41" i="21"/>
  <c r="AC41" i="21" s="1"/>
  <c r="W45" i="21"/>
  <c r="AC45" i="21" s="1"/>
  <c r="W49" i="21"/>
  <c r="AC49" i="21" s="1"/>
  <c r="W53" i="21"/>
  <c r="AC53" i="21" s="1"/>
  <c r="W57" i="21"/>
  <c r="AC57" i="21" s="1"/>
  <c r="W61" i="21"/>
  <c r="AC61" i="21" s="1"/>
  <c r="W69" i="21"/>
  <c r="AC69" i="21" s="1"/>
  <c r="W6" i="21"/>
  <c r="W10" i="21"/>
  <c r="AC10" i="21" s="1"/>
  <c r="W14" i="21"/>
  <c r="AC14" i="21" s="1"/>
  <c r="W18" i="21"/>
  <c r="AC18" i="21" s="1"/>
  <c r="W22" i="21"/>
  <c r="AC22" i="21" s="1"/>
  <c r="W26" i="21"/>
  <c r="AC26" i="21" s="1"/>
  <c r="W30" i="21"/>
  <c r="AC30" i="21" s="1"/>
  <c r="W34" i="21"/>
  <c r="AC34" i="21" s="1"/>
  <c r="W38" i="21"/>
  <c r="AC38" i="21" s="1"/>
  <c r="W42" i="21"/>
  <c r="AC42" i="21" s="1"/>
  <c r="W46" i="21"/>
  <c r="AC46" i="21" s="1"/>
  <c r="W50" i="21"/>
  <c r="AC50" i="21" s="1"/>
  <c r="W54" i="21"/>
  <c r="AC54" i="21" s="1"/>
  <c r="W58" i="21"/>
  <c r="AC58" i="21" s="1"/>
  <c r="W62" i="21"/>
  <c r="AC62" i="21" s="1"/>
  <c r="W66" i="21"/>
  <c r="AC66" i="21" s="1"/>
  <c r="W70" i="21"/>
  <c r="AC70" i="21" s="1"/>
  <c r="W13" i="21"/>
  <c r="AC13" i="21" s="1"/>
  <c r="W65" i="21"/>
  <c r="AC65" i="21" s="1"/>
  <c r="W7" i="21"/>
  <c r="AC7" i="21" s="1"/>
  <c r="W11" i="21"/>
  <c r="AC11" i="21" s="1"/>
  <c r="W15" i="21"/>
  <c r="AC15" i="21" s="1"/>
  <c r="W19" i="21"/>
  <c r="AC19" i="21" s="1"/>
  <c r="W23" i="21"/>
  <c r="AC23" i="21" s="1"/>
  <c r="W27" i="21"/>
  <c r="AC27" i="21" s="1"/>
  <c r="W31" i="21"/>
  <c r="AC31" i="21" s="1"/>
  <c r="W35" i="21"/>
  <c r="AC35" i="21" s="1"/>
  <c r="W39" i="21"/>
  <c r="AC39" i="21" s="1"/>
  <c r="W43" i="21"/>
  <c r="AC43" i="21" s="1"/>
  <c r="W47" i="21"/>
  <c r="AC47" i="21" s="1"/>
  <c r="W51" i="21"/>
  <c r="AC51" i="21" s="1"/>
  <c r="W55" i="21"/>
  <c r="AC55" i="21" s="1"/>
  <c r="W59" i="21"/>
  <c r="AC59" i="21" s="1"/>
  <c r="W63" i="21"/>
  <c r="AC63" i="21" s="1"/>
  <c r="AC56" i="20"/>
  <c r="AC25" i="20"/>
  <c r="AC33" i="20"/>
  <c r="AC10" i="20"/>
  <c r="AC42" i="20"/>
  <c r="AC9" i="20"/>
  <c r="AC57" i="20"/>
  <c r="AC7" i="20"/>
  <c r="AC15" i="20"/>
  <c r="AC23" i="20"/>
  <c r="AC31" i="20"/>
  <c r="AC39" i="20"/>
  <c r="AC55" i="20"/>
  <c r="AC63" i="20"/>
  <c r="P68" i="21"/>
  <c r="P64" i="21"/>
  <c r="P60" i="21"/>
  <c r="P56" i="21"/>
  <c r="P52" i="21"/>
  <c r="P48" i="21"/>
  <c r="P44" i="21"/>
  <c r="P40" i="21"/>
  <c r="P36" i="21"/>
  <c r="P32" i="21"/>
  <c r="P28" i="21"/>
  <c r="P24" i="21"/>
  <c r="P20" i="21"/>
  <c r="P16" i="21"/>
  <c r="P12" i="21"/>
  <c r="P8" i="21"/>
  <c r="P67" i="21"/>
  <c r="P63" i="21"/>
  <c r="P59" i="21"/>
  <c r="P55" i="21"/>
  <c r="P51" i="21"/>
  <c r="P47" i="21"/>
  <c r="P43" i="21"/>
  <c r="P39" i="21"/>
  <c r="P35" i="21"/>
  <c r="P31" i="21"/>
  <c r="P27" i="21"/>
  <c r="P23" i="21"/>
  <c r="P19" i="21"/>
  <c r="P15" i="21"/>
  <c r="P11" i="21"/>
  <c r="P7" i="21"/>
  <c r="P37" i="21"/>
  <c r="P54" i="21"/>
  <c r="P69" i="21"/>
  <c r="Q67" i="21"/>
  <c r="Q63" i="21"/>
  <c r="Q59" i="21"/>
  <c r="Q55" i="21"/>
  <c r="Q51" i="21"/>
  <c r="Q47" i="21"/>
  <c r="Q43" i="21"/>
  <c r="Q39" i="21"/>
  <c r="Q35" i="21"/>
  <c r="Q31" i="21"/>
  <c r="Q27" i="21"/>
  <c r="Q23" i="21"/>
  <c r="Q19" i="21"/>
  <c r="Q15" i="21"/>
  <c r="Q11" i="21"/>
  <c r="Q7" i="21"/>
  <c r="Q70" i="21"/>
  <c r="Q66" i="21"/>
  <c r="Q62" i="21"/>
  <c r="Q58" i="21"/>
  <c r="Q54" i="21"/>
  <c r="Q50" i="21"/>
  <c r="Q46" i="21"/>
  <c r="Q42" i="21"/>
  <c r="Q38" i="21"/>
  <c r="Q34" i="21"/>
  <c r="Q30" i="21"/>
  <c r="Q26" i="21"/>
  <c r="Q22" i="21"/>
  <c r="Q18" i="21"/>
  <c r="Q14" i="21"/>
  <c r="Q10" i="21"/>
  <c r="Q6" i="21"/>
  <c r="P9" i="21"/>
  <c r="P10" i="21"/>
  <c r="Q20" i="21"/>
  <c r="Q21" i="21"/>
  <c r="P25" i="21"/>
  <c r="P26" i="21"/>
  <c r="Q36" i="21"/>
  <c r="Q37" i="21"/>
  <c r="P41" i="21"/>
  <c r="P42" i="21"/>
  <c r="Q52" i="21"/>
  <c r="Q53" i="21"/>
  <c r="P57" i="21"/>
  <c r="P58" i="21"/>
  <c r="Q68" i="21"/>
  <c r="Q69" i="21"/>
  <c r="P6" i="21"/>
  <c r="P21" i="21"/>
  <c r="P22" i="21"/>
  <c r="P38" i="21"/>
  <c r="P53" i="21"/>
  <c r="P70" i="21"/>
  <c r="P13" i="21"/>
  <c r="P14" i="21"/>
  <c r="P29" i="21"/>
  <c r="P30" i="21"/>
  <c r="P45" i="21"/>
  <c r="P46" i="21"/>
  <c r="P61" i="21"/>
  <c r="P62" i="21"/>
  <c r="M6" i="21"/>
  <c r="O8" i="21"/>
  <c r="M10" i="21"/>
  <c r="O12" i="21"/>
  <c r="M14" i="21"/>
  <c r="O16" i="21"/>
  <c r="M18" i="21"/>
  <c r="O20" i="21"/>
  <c r="M22" i="21"/>
  <c r="O24" i="21"/>
  <c r="M26" i="21"/>
  <c r="O28" i="21"/>
  <c r="M30" i="21"/>
  <c r="O32" i="21"/>
  <c r="M34" i="21"/>
  <c r="O36" i="21"/>
  <c r="M38" i="21"/>
  <c r="O40" i="21"/>
  <c r="M42" i="21"/>
  <c r="O44" i="21"/>
  <c r="M46" i="21"/>
  <c r="O48" i="21"/>
  <c r="M50" i="21"/>
  <c r="O52" i="21"/>
  <c r="M54" i="21"/>
  <c r="O56" i="21"/>
  <c r="M58" i="21"/>
  <c r="O60" i="21"/>
  <c r="M62" i="21"/>
  <c r="O64" i="21"/>
  <c r="M66" i="21"/>
  <c r="O68" i="21"/>
  <c r="O9" i="21"/>
  <c r="O13" i="21"/>
  <c r="O17" i="21"/>
  <c r="O21" i="21"/>
  <c r="O25" i="21"/>
  <c r="O29" i="21"/>
  <c r="O33" i="21"/>
  <c r="O37" i="21"/>
  <c r="O41" i="21"/>
  <c r="O45" i="21"/>
  <c r="O49" i="21"/>
  <c r="O53" i="21"/>
  <c r="O57" i="21"/>
  <c r="O61" i="21"/>
  <c r="O65" i="21"/>
  <c r="AB71" i="14"/>
  <c r="AF71" i="20"/>
  <c r="N71" i="20"/>
  <c r="AC12" i="20"/>
  <c r="AC16" i="20"/>
  <c r="X71" i="20"/>
  <c r="AC26" i="20"/>
  <c r="V71" i="20"/>
  <c r="AC58" i="20"/>
  <c r="AC41" i="20"/>
  <c r="AS6" i="36" l="1"/>
  <c r="AQ6" i="36"/>
  <c r="AR6" i="36"/>
  <c r="B14" i="38"/>
  <c r="B8" i="35"/>
  <c r="L14" i="35"/>
  <c r="L14" i="14" s="1"/>
  <c r="A21" i="38"/>
  <c r="AP14" i="36" s="1"/>
  <c r="DH73" i="26"/>
  <c r="CX73" i="26"/>
  <c r="C12" i="14"/>
  <c r="C13" i="14" s="1"/>
  <c r="C14" i="14" s="1"/>
  <c r="C15" i="14" s="1"/>
  <c r="C16" i="14" s="1"/>
  <c r="AU6" i="21"/>
  <c r="AU72" i="21" s="1"/>
  <c r="AW72" i="21" s="1"/>
  <c r="E6" i="21"/>
  <c r="AS6" i="20" s="1"/>
  <c r="E6" i="23" s="1"/>
  <c r="J6" i="23" s="1"/>
  <c r="AV6" i="20"/>
  <c r="AV72" i="20" s="1"/>
  <c r="AX72" i="20" s="1"/>
  <c r="E6" i="20"/>
  <c r="D6" i="14"/>
  <c r="X7" i="22"/>
  <c r="AA7" i="22"/>
  <c r="C19" i="37"/>
  <c r="AE9" i="25"/>
  <c r="AK9" i="25" s="1"/>
  <c r="O9" i="25"/>
  <c r="N9" i="25"/>
  <c r="Q9" i="25"/>
  <c r="W9" i="25"/>
  <c r="P9" i="25"/>
  <c r="M9" i="25"/>
  <c r="N7" i="23"/>
  <c r="AE7" i="23"/>
  <c r="AK7" i="23" s="1"/>
  <c r="M7" i="23"/>
  <c r="Q7" i="23"/>
  <c r="P7" i="23"/>
  <c r="W7" i="23"/>
  <c r="O7" i="23"/>
  <c r="AE7" i="22"/>
  <c r="W7" i="22"/>
  <c r="AE7" i="24"/>
  <c r="W7" i="24"/>
  <c r="E7" i="21"/>
  <c r="C10" i="25"/>
  <c r="AF18" i="14"/>
  <c r="AK17" i="35"/>
  <c r="Y24" i="38"/>
  <c r="N24" i="38"/>
  <c r="AH6" i="36"/>
  <c r="AG6" i="36"/>
  <c r="I6" i="14"/>
  <c r="G7" i="20"/>
  <c r="G7" i="21"/>
  <c r="T8" i="25"/>
  <c r="C8" i="24"/>
  <c r="Z24" i="38"/>
  <c r="O24" i="38"/>
  <c r="M71" i="20"/>
  <c r="W6" i="14"/>
  <c r="CW86" i="26" s="1"/>
  <c r="DG86" i="26" s="1"/>
  <c r="H6" i="14"/>
  <c r="AK6" i="22"/>
  <c r="AE6" i="14"/>
  <c r="CW87" i="26" s="1"/>
  <c r="DG87" i="26" s="1"/>
  <c r="R6" i="14"/>
  <c r="CW83" i="26" s="1"/>
  <c r="DG83" i="26" s="1"/>
  <c r="T6" i="20"/>
  <c r="G6" i="14"/>
  <c r="R7" i="20"/>
  <c r="AT23" i="38"/>
  <c r="X23" i="38" s="1"/>
  <c r="V24" i="38"/>
  <c r="AR24" i="38"/>
  <c r="AS24" i="38" s="1"/>
  <c r="AT24" i="38" s="1"/>
  <c r="AI6" i="36"/>
  <c r="AI6" i="14" s="1"/>
  <c r="C7" i="36"/>
  <c r="Q71" i="20"/>
  <c r="S24" i="38"/>
  <c r="D22" i="38"/>
  <c r="AC24" i="38"/>
  <c r="AH24" i="38"/>
  <c r="AI24" i="38"/>
  <c r="AD24" i="38"/>
  <c r="W24" i="38"/>
  <c r="H24" i="38"/>
  <c r="AG24" i="38"/>
  <c r="AF24" i="38"/>
  <c r="R24" i="38"/>
  <c r="AK23" i="38"/>
  <c r="AJ24" i="38"/>
  <c r="T24" i="38"/>
  <c r="I24" i="38"/>
  <c r="AE24" i="38"/>
  <c r="U24" i="38"/>
  <c r="J24" i="38"/>
  <c r="C25" i="38"/>
  <c r="C19" i="35"/>
  <c r="AF19" i="35" s="1"/>
  <c r="AK6" i="23"/>
  <c r="Y7" i="22"/>
  <c r="W71" i="20"/>
  <c r="P71" i="20"/>
  <c r="O71" i="20"/>
  <c r="H7" i="21"/>
  <c r="I7" i="21" s="1"/>
  <c r="C8" i="21"/>
  <c r="D8" i="21" s="1"/>
  <c r="H7" i="20"/>
  <c r="I7" i="20" s="1"/>
  <c r="R7" i="21"/>
  <c r="T7" i="21" s="1"/>
  <c r="C8" i="20"/>
  <c r="D8" i="20" s="1"/>
  <c r="C8" i="22"/>
  <c r="T6" i="23"/>
  <c r="C8" i="23"/>
  <c r="W71" i="21"/>
  <c r="AC6" i="21"/>
  <c r="AC71" i="21" s="1"/>
  <c r="AC69" i="20"/>
  <c r="AC53" i="20"/>
  <c r="AC65" i="20"/>
  <c r="AC45" i="20"/>
  <c r="AC13" i="20"/>
  <c r="AC29" i="20"/>
  <c r="AC66" i="20"/>
  <c r="AC50" i="20"/>
  <c r="AC34" i="20"/>
  <c r="AC18" i="20"/>
  <c r="AC17" i="20"/>
  <c r="AC46" i="20"/>
  <c r="AC49" i="20"/>
  <c r="AC47" i="20"/>
  <c r="AC35" i="20"/>
  <c r="AC70" i="20"/>
  <c r="AC38" i="20"/>
  <c r="AC22" i="20"/>
  <c r="AC6" i="20"/>
  <c r="M71" i="21"/>
  <c r="O71" i="21"/>
  <c r="T6" i="21"/>
  <c r="P71" i="21"/>
  <c r="Q71" i="21"/>
  <c r="AT6" i="36" l="1"/>
  <c r="AU6" i="36" s="1"/>
  <c r="AJ6" i="36" s="1"/>
  <c r="B15" i="38"/>
  <c r="B9" i="35"/>
  <c r="AS7" i="36"/>
  <c r="AQ7" i="36"/>
  <c r="AR7" i="36"/>
  <c r="L15" i="35"/>
  <c r="L15" i="14" s="1"/>
  <c r="A22" i="38"/>
  <c r="AP15" i="36" s="1"/>
  <c r="F6" i="21"/>
  <c r="F6" i="14" s="1"/>
  <c r="C11" i="25"/>
  <c r="Q11" i="25" s="1"/>
  <c r="CY73" i="26"/>
  <c r="DI73" i="26"/>
  <c r="C17" i="14"/>
  <c r="C18" i="14" s="1"/>
  <c r="C19" i="14" s="1"/>
  <c r="C20" i="14" s="1"/>
  <c r="C21" i="14" s="1"/>
  <c r="E6" i="22"/>
  <c r="J6" i="22" s="1"/>
  <c r="E6" i="24"/>
  <c r="J6" i="24" s="1"/>
  <c r="E6" i="25"/>
  <c r="J6" i="25" s="1"/>
  <c r="U6" i="25" s="1"/>
  <c r="U6" i="23"/>
  <c r="J6" i="20"/>
  <c r="U6" i="20" s="1"/>
  <c r="AD6" i="20" s="1"/>
  <c r="D7" i="14"/>
  <c r="AU8" i="21"/>
  <c r="AU7" i="21"/>
  <c r="F7" i="21"/>
  <c r="F7" i="14" s="1"/>
  <c r="AS7" i="20"/>
  <c r="AA8" i="23"/>
  <c r="AA8" i="22"/>
  <c r="C20" i="37"/>
  <c r="AE8" i="24"/>
  <c r="AK8" i="24" s="1"/>
  <c r="W8" i="24"/>
  <c r="AE10" i="25"/>
  <c r="AK10" i="25" s="1"/>
  <c r="Q10" i="25"/>
  <c r="P10" i="25"/>
  <c r="N10" i="25"/>
  <c r="M10" i="25"/>
  <c r="W10" i="25"/>
  <c r="O10" i="25"/>
  <c r="AE8" i="22"/>
  <c r="W8" i="22"/>
  <c r="AE8" i="23"/>
  <c r="AK8" i="23" s="1"/>
  <c r="W8" i="23"/>
  <c r="G7" i="14"/>
  <c r="I7" i="14"/>
  <c r="T9" i="25"/>
  <c r="AF19" i="14"/>
  <c r="AK18" i="35"/>
  <c r="Y25" i="38"/>
  <c r="N25" i="38"/>
  <c r="AH7" i="36"/>
  <c r="AG7" i="36"/>
  <c r="AG7" i="14" s="1"/>
  <c r="AG6" i="14"/>
  <c r="G8" i="20"/>
  <c r="C9" i="24"/>
  <c r="AK7" i="24"/>
  <c r="Z25" i="38"/>
  <c r="O25" i="38"/>
  <c r="AE7" i="14"/>
  <c r="W7" i="14"/>
  <c r="R7" i="14"/>
  <c r="H7" i="14"/>
  <c r="H8" i="21"/>
  <c r="I8" i="21" s="1"/>
  <c r="G8" i="21"/>
  <c r="AH6" i="14"/>
  <c r="AY6" i="14" s="1"/>
  <c r="AK7" i="22"/>
  <c r="M23" i="38"/>
  <c r="P23" i="38" s="1"/>
  <c r="E23" i="38" s="1"/>
  <c r="AG25" i="38"/>
  <c r="AR25" i="38"/>
  <c r="AS25" i="38" s="1"/>
  <c r="AT25" i="38" s="1"/>
  <c r="M24" i="38"/>
  <c r="P24" i="38" s="1"/>
  <c r="E24" i="38" s="1"/>
  <c r="X24" i="38"/>
  <c r="H8" i="20"/>
  <c r="I8" i="20" s="1"/>
  <c r="R8" i="20"/>
  <c r="AI7" i="36"/>
  <c r="AI7" i="14" s="1"/>
  <c r="AA23" i="38"/>
  <c r="F23" i="38" s="1"/>
  <c r="C8" i="36"/>
  <c r="AF25" i="38"/>
  <c r="AK24" i="38"/>
  <c r="AJ25" i="38"/>
  <c r="H25" i="38"/>
  <c r="AI25" i="38"/>
  <c r="W25" i="38"/>
  <c r="AH25" i="38"/>
  <c r="AE25" i="38"/>
  <c r="R25" i="38"/>
  <c r="I25" i="38"/>
  <c r="U25" i="38"/>
  <c r="S25" i="38"/>
  <c r="J25" i="38"/>
  <c r="V25" i="38"/>
  <c r="AD25" i="38"/>
  <c r="AC25" i="38"/>
  <c r="T25" i="38"/>
  <c r="C26" i="38"/>
  <c r="C20" i="35"/>
  <c r="AF20" i="35" s="1"/>
  <c r="X8" i="22"/>
  <c r="Y8" i="22"/>
  <c r="C9" i="20"/>
  <c r="D9" i="20" s="1"/>
  <c r="C9" i="21"/>
  <c r="D9" i="21" s="1"/>
  <c r="R8" i="21"/>
  <c r="T8" i="21" s="1"/>
  <c r="T7" i="20"/>
  <c r="C9" i="22"/>
  <c r="T7" i="23"/>
  <c r="C9" i="23"/>
  <c r="AC71" i="20"/>
  <c r="M11" i="25" l="1"/>
  <c r="AT7" i="36"/>
  <c r="AU7" i="36" s="1"/>
  <c r="AJ7" i="36" s="1"/>
  <c r="AJ7" i="14" s="1"/>
  <c r="AS8" i="36"/>
  <c r="AQ8" i="36"/>
  <c r="AR8" i="36"/>
  <c r="B16" i="38"/>
  <c r="B10" i="35"/>
  <c r="O11" i="25"/>
  <c r="P11" i="25"/>
  <c r="W11" i="25"/>
  <c r="C12" i="25"/>
  <c r="P12" i="25" s="1"/>
  <c r="AE11" i="25"/>
  <c r="AK11" i="25" s="1"/>
  <c r="N11" i="25"/>
  <c r="J6" i="21"/>
  <c r="U6" i="21" s="1"/>
  <c r="AD6" i="21" s="1"/>
  <c r="CZ73" i="26"/>
  <c r="DJ73" i="26"/>
  <c r="C22" i="14"/>
  <c r="C23" i="14" s="1"/>
  <c r="C24" i="14" s="1"/>
  <c r="C25" i="14" s="1"/>
  <c r="C26" i="14" s="1"/>
  <c r="E6" i="14"/>
  <c r="AV7" i="20"/>
  <c r="E7" i="20"/>
  <c r="J7" i="20" s="1"/>
  <c r="AV8" i="20"/>
  <c r="AU9" i="21"/>
  <c r="E7" i="24"/>
  <c r="E7" i="22"/>
  <c r="E7" i="25"/>
  <c r="E7" i="23"/>
  <c r="AA9" i="22"/>
  <c r="AA9" i="23"/>
  <c r="C21" i="37"/>
  <c r="AE9" i="22"/>
  <c r="W9" i="22"/>
  <c r="W9" i="23"/>
  <c r="AE9" i="23"/>
  <c r="AK9" i="23" s="1"/>
  <c r="AE9" i="24"/>
  <c r="W9" i="24"/>
  <c r="T10" i="25"/>
  <c r="AK20" i="35"/>
  <c r="AK19" i="35"/>
  <c r="N26" i="38"/>
  <c r="Y26" i="38"/>
  <c r="G8" i="14"/>
  <c r="D23" i="38"/>
  <c r="AH8" i="36"/>
  <c r="AG8" i="36"/>
  <c r="AG8" i="14" s="1"/>
  <c r="I8" i="14"/>
  <c r="G9" i="20"/>
  <c r="C10" i="24"/>
  <c r="O26" i="38"/>
  <c r="Z26" i="38"/>
  <c r="H8" i="14"/>
  <c r="W8" i="14"/>
  <c r="H9" i="21"/>
  <c r="I9" i="21" s="1"/>
  <c r="G9" i="21"/>
  <c r="AE8" i="14"/>
  <c r="R8" i="14"/>
  <c r="AJ6" i="14"/>
  <c r="CW93" i="26" s="1"/>
  <c r="DG93" i="26" s="1"/>
  <c r="AK6" i="36"/>
  <c r="AK6" i="14" s="1"/>
  <c r="AH7" i="14"/>
  <c r="AY7" i="14" s="1"/>
  <c r="AK8" i="22"/>
  <c r="AL6" i="20"/>
  <c r="AM6" i="20" s="1"/>
  <c r="AA24" i="38"/>
  <c r="F24" i="38" s="1"/>
  <c r="D24" i="38" s="1"/>
  <c r="T26" i="38"/>
  <c r="AR26" i="38"/>
  <c r="AS26" i="38" s="1"/>
  <c r="AT26" i="38" s="1"/>
  <c r="X25" i="38"/>
  <c r="AA25" i="38" s="1"/>
  <c r="F25" i="38" s="1"/>
  <c r="M25" i="38"/>
  <c r="P25" i="38" s="1"/>
  <c r="E25" i="38" s="1"/>
  <c r="H9" i="20"/>
  <c r="I9" i="20" s="1"/>
  <c r="R9" i="20"/>
  <c r="AI8" i="36"/>
  <c r="AI8" i="14" s="1"/>
  <c r="C9" i="36"/>
  <c r="I26" i="38"/>
  <c r="AD26" i="38"/>
  <c r="AG26" i="38"/>
  <c r="W26" i="38"/>
  <c r="AK25" i="38"/>
  <c r="U26" i="38"/>
  <c r="H26" i="38"/>
  <c r="AH26" i="38"/>
  <c r="AI26" i="38"/>
  <c r="R26" i="38"/>
  <c r="AJ26" i="38"/>
  <c r="AC26" i="38"/>
  <c r="V26" i="38"/>
  <c r="AF26" i="38"/>
  <c r="S26" i="38"/>
  <c r="J26" i="38"/>
  <c r="AE26" i="38"/>
  <c r="C27" i="38"/>
  <c r="J7" i="21"/>
  <c r="C21" i="35"/>
  <c r="AF21" i="35" s="1"/>
  <c r="X9" i="22"/>
  <c r="Y9" i="22"/>
  <c r="C10" i="20"/>
  <c r="D10" i="20" s="1"/>
  <c r="C10" i="21"/>
  <c r="D10" i="21" s="1"/>
  <c r="T8" i="20"/>
  <c r="R9" i="21"/>
  <c r="C10" i="22"/>
  <c r="C10" i="23"/>
  <c r="N12" i="25" l="1"/>
  <c r="C13" i="25"/>
  <c r="Q12" i="25"/>
  <c r="W12" i="25"/>
  <c r="M12" i="25"/>
  <c r="O12" i="25"/>
  <c r="AE12" i="25"/>
  <c r="AK12" i="25" s="1"/>
  <c r="AT8" i="36"/>
  <c r="AU8" i="36" s="1"/>
  <c r="AJ8" i="36" s="1"/>
  <c r="AJ8" i="14" s="1"/>
  <c r="T11" i="25"/>
  <c r="AS9" i="36"/>
  <c r="AQ9" i="36"/>
  <c r="AR9" i="36"/>
  <c r="B11" i="35"/>
  <c r="B17" i="38"/>
  <c r="L17" i="35"/>
  <c r="L17" i="14" s="1"/>
  <c r="A24" i="38"/>
  <c r="AP17" i="36" s="1"/>
  <c r="L16" i="35"/>
  <c r="L16" i="14" s="1"/>
  <c r="A23" i="38"/>
  <c r="AP16" i="36" s="1"/>
  <c r="J6" i="14"/>
  <c r="CW77" i="26" s="1"/>
  <c r="DG77" i="26" s="1"/>
  <c r="DA73" i="26"/>
  <c r="DK73" i="26"/>
  <c r="C27" i="14"/>
  <c r="C28" i="14" s="1"/>
  <c r="C29" i="14" s="1"/>
  <c r="C30" i="14" s="1"/>
  <c r="C31" i="14" s="1"/>
  <c r="AV9" i="20"/>
  <c r="AU10" i="21"/>
  <c r="E7" i="14"/>
  <c r="J7" i="24"/>
  <c r="J7" i="23"/>
  <c r="J7" i="25"/>
  <c r="J7" i="22"/>
  <c r="U7" i="20"/>
  <c r="AD7" i="20" s="1"/>
  <c r="AA10" i="22"/>
  <c r="AA10" i="23"/>
  <c r="C22" i="37"/>
  <c r="AE13" i="25"/>
  <c r="AK13" i="25" s="1"/>
  <c r="O13" i="25"/>
  <c r="N13" i="25"/>
  <c r="Q13" i="25"/>
  <c r="P13" i="25"/>
  <c r="M13" i="25"/>
  <c r="W13" i="25"/>
  <c r="AE10" i="22"/>
  <c r="W10" i="22"/>
  <c r="W10" i="23"/>
  <c r="AE10" i="23"/>
  <c r="AK10" i="23" s="1"/>
  <c r="AE10" i="24"/>
  <c r="AK10" i="24" s="1"/>
  <c r="W10" i="24"/>
  <c r="AF20" i="14"/>
  <c r="AK21" i="35"/>
  <c r="N27" i="38"/>
  <c r="Y27" i="38"/>
  <c r="AH9" i="36"/>
  <c r="AG9" i="36"/>
  <c r="AG9" i="14" s="1"/>
  <c r="G9" i="14"/>
  <c r="I9" i="14"/>
  <c r="G10" i="20"/>
  <c r="AK9" i="24"/>
  <c r="C11" i="24"/>
  <c r="Z27" i="38"/>
  <c r="O27" i="38"/>
  <c r="AE9" i="14"/>
  <c r="W9" i="14"/>
  <c r="H10" i="21"/>
  <c r="I10" i="21" s="1"/>
  <c r="G10" i="21"/>
  <c r="H9" i="14"/>
  <c r="R9" i="14"/>
  <c r="AL6" i="36"/>
  <c r="AM6" i="36" s="1"/>
  <c r="AH8" i="14"/>
  <c r="AY8" i="14" s="1"/>
  <c r="AK7" i="36"/>
  <c r="AK7" i="14" s="1"/>
  <c r="U7" i="21"/>
  <c r="AL6" i="21"/>
  <c r="AM6" i="21" s="1"/>
  <c r="AK9" i="22"/>
  <c r="H10" i="20"/>
  <c r="I10" i="20" s="1"/>
  <c r="R10" i="20"/>
  <c r="X26" i="38"/>
  <c r="AA26" i="38" s="1"/>
  <c r="F26" i="38" s="1"/>
  <c r="M26" i="38"/>
  <c r="P26" i="38" s="1"/>
  <c r="E26" i="38" s="1"/>
  <c r="V27" i="38"/>
  <c r="AR27" i="38"/>
  <c r="AS27" i="38" s="1"/>
  <c r="AT27" i="38" s="1"/>
  <c r="AI9" i="36"/>
  <c r="AI9" i="14" s="1"/>
  <c r="C10" i="36"/>
  <c r="D25" i="38"/>
  <c r="AC27" i="38"/>
  <c r="AF27" i="38"/>
  <c r="AG27" i="38"/>
  <c r="W27" i="38"/>
  <c r="AK26" i="38"/>
  <c r="I27" i="38"/>
  <c r="R27" i="38"/>
  <c r="AE27" i="38"/>
  <c r="T27" i="38"/>
  <c r="AJ27" i="38"/>
  <c r="AI27" i="38"/>
  <c r="AH27" i="38"/>
  <c r="U27" i="38"/>
  <c r="AD27" i="38"/>
  <c r="S27" i="38"/>
  <c r="H27" i="38"/>
  <c r="J27" i="38"/>
  <c r="C28" i="38"/>
  <c r="C22" i="35"/>
  <c r="AF22" i="35" s="1"/>
  <c r="X10" i="22"/>
  <c r="Y10" i="22"/>
  <c r="Y10" i="23"/>
  <c r="X10" i="23"/>
  <c r="C11" i="21"/>
  <c r="C11" i="20"/>
  <c r="R10" i="21"/>
  <c r="T10" i="21" s="1"/>
  <c r="T9" i="21"/>
  <c r="T9" i="20"/>
  <c r="C11" i="22"/>
  <c r="C14" i="25"/>
  <c r="C11" i="23"/>
  <c r="T12" i="25" l="1"/>
  <c r="AT9" i="36"/>
  <c r="AU9" i="36" s="1"/>
  <c r="AJ9" i="36" s="1"/>
  <c r="AJ9" i="14" s="1"/>
  <c r="B18" i="38"/>
  <c r="B12" i="35"/>
  <c r="AQ10" i="36"/>
  <c r="AS10" i="36"/>
  <c r="AR10" i="36"/>
  <c r="L18" i="35"/>
  <c r="L18" i="14" s="1"/>
  <c r="A25" i="38"/>
  <c r="AP18" i="36" s="1"/>
  <c r="CX76" i="26"/>
  <c r="DH76" i="26"/>
  <c r="D11" i="21"/>
  <c r="AU11" i="21" s="1"/>
  <c r="CX74" i="26"/>
  <c r="DH74" i="26"/>
  <c r="DB73" i="26"/>
  <c r="DL73" i="26"/>
  <c r="CX75" i="26"/>
  <c r="DH75" i="26"/>
  <c r="C32" i="14"/>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AV10" i="20"/>
  <c r="D11" i="20"/>
  <c r="J7" i="14"/>
  <c r="U7" i="23"/>
  <c r="U7" i="25"/>
  <c r="AA11" i="23"/>
  <c r="AA11" i="22"/>
  <c r="C23" i="37"/>
  <c r="AE14" i="25"/>
  <c r="AK14" i="25" s="1"/>
  <c r="Q14" i="25"/>
  <c r="P14" i="25"/>
  <c r="N14" i="25"/>
  <c r="M14" i="25"/>
  <c r="O14" i="25"/>
  <c r="W14" i="25"/>
  <c r="AE11" i="24"/>
  <c r="AK11" i="24" s="1"/>
  <c r="W11" i="24"/>
  <c r="AE11" i="22"/>
  <c r="W11" i="22"/>
  <c r="W11" i="23"/>
  <c r="AE11" i="23"/>
  <c r="AK11" i="23" s="1"/>
  <c r="G11" i="20"/>
  <c r="G10" i="14"/>
  <c r="AF21" i="14"/>
  <c r="AK22" i="35"/>
  <c r="Y28" i="38"/>
  <c r="N28" i="38"/>
  <c r="I10" i="14"/>
  <c r="AH10" i="36"/>
  <c r="AG10" i="36"/>
  <c r="AG10" i="14" s="1"/>
  <c r="T13" i="25"/>
  <c r="C12" i="24"/>
  <c r="Z28" i="38"/>
  <c r="O28" i="38"/>
  <c r="H10" i="14"/>
  <c r="H11" i="21"/>
  <c r="I11" i="21" s="1"/>
  <c r="G11" i="21"/>
  <c r="AE10" i="14"/>
  <c r="W10" i="14"/>
  <c r="AK8" i="36"/>
  <c r="AK8" i="14" s="1"/>
  <c r="R10" i="14"/>
  <c r="AH9" i="14"/>
  <c r="AY9" i="14" s="1"/>
  <c r="AL7" i="36"/>
  <c r="AM7" i="36" s="1"/>
  <c r="AD7" i="21"/>
  <c r="AK10" i="22"/>
  <c r="AL7" i="20"/>
  <c r="AM7" i="20" s="1"/>
  <c r="H11" i="20"/>
  <c r="I11" i="20" s="1"/>
  <c r="R11" i="20"/>
  <c r="M27" i="38"/>
  <c r="P27" i="38" s="1"/>
  <c r="E27" i="38" s="1"/>
  <c r="X27" i="38"/>
  <c r="AA27" i="38" s="1"/>
  <c r="F27" i="38" s="1"/>
  <c r="R28" i="38"/>
  <c r="AR28" i="38"/>
  <c r="AS28" i="38" s="1"/>
  <c r="AT28" i="38" s="1"/>
  <c r="AI10" i="36"/>
  <c r="AI10" i="14" s="1"/>
  <c r="C11" i="36"/>
  <c r="AK27" i="38"/>
  <c r="D26" i="38"/>
  <c r="S28" i="38"/>
  <c r="J28" i="38"/>
  <c r="I28" i="38"/>
  <c r="AC28" i="38"/>
  <c r="AJ28" i="38"/>
  <c r="AE28" i="38"/>
  <c r="H28" i="38"/>
  <c r="AG28" i="38"/>
  <c r="T28" i="38"/>
  <c r="AD28" i="38"/>
  <c r="AF28" i="38"/>
  <c r="AH28" i="38"/>
  <c r="U28" i="38"/>
  <c r="W28" i="38"/>
  <c r="AI28" i="38"/>
  <c r="V28" i="38"/>
  <c r="C29" i="38"/>
  <c r="C23" i="35"/>
  <c r="AF23" i="35" s="1"/>
  <c r="X11" i="22"/>
  <c r="Y11" i="22"/>
  <c r="Y11" i="23"/>
  <c r="X11" i="23"/>
  <c r="C12" i="21"/>
  <c r="D12" i="21" s="1"/>
  <c r="C12" i="20"/>
  <c r="T10" i="20"/>
  <c r="R11" i="21"/>
  <c r="C12" i="22"/>
  <c r="C15" i="25"/>
  <c r="C12" i="23"/>
  <c r="AS11" i="36" l="1"/>
  <c r="AQ11" i="36"/>
  <c r="AR11" i="36"/>
  <c r="AT10" i="36"/>
  <c r="AU10" i="36" s="1"/>
  <c r="AJ10" i="36" s="1"/>
  <c r="AJ10" i="14" s="1"/>
  <c r="B13" i="35"/>
  <c r="B19" i="38"/>
  <c r="L19" i="35"/>
  <c r="L19" i="14" s="1"/>
  <c r="A26" i="38"/>
  <c r="AP19" i="36" s="1"/>
  <c r="AN6" i="37"/>
  <c r="AV11" i="20"/>
  <c r="D12" i="20"/>
  <c r="AU12" i="21"/>
  <c r="AA12" i="23"/>
  <c r="AA12" i="22"/>
  <c r="C24" i="37"/>
  <c r="AE12" i="22"/>
  <c r="W12" i="22"/>
  <c r="AE12" i="24"/>
  <c r="W12" i="24"/>
  <c r="AE12" i="23"/>
  <c r="AK12" i="23" s="1"/>
  <c r="W12" i="23"/>
  <c r="AE15" i="25"/>
  <c r="AK15" i="25" s="1"/>
  <c r="W15" i="25"/>
  <c r="P15" i="25"/>
  <c r="O15" i="25"/>
  <c r="M15" i="25"/>
  <c r="Q15" i="25"/>
  <c r="N15" i="25"/>
  <c r="G11" i="14"/>
  <c r="G12" i="20"/>
  <c r="AF22" i="14"/>
  <c r="AF23" i="14"/>
  <c r="N29" i="38"/>
  <c r="Y29" i="38"/>
  <c r="AH11" i="36"/>
  <c r="AG11" i="36"/>
  <c r="AG11" i="14" s="1"/>
  <c r="I11" i="14"/>
  <c r="T14" i="25"/>
  <c r="C13" i="24"/>
  <c r="O29" i="38"/>
  <c r="Z29" i="38"/>
  <c r="H11" i="14"/>
  <c r="AE11" i="14"/>
  <c r="CX87" i="26" s="1"/>
  <c r="DH87" i="26" s="1"/>
  <c r="AL8" i="36"/>
  <c r="AM8" i="36" s="1"/>
  <c r="H12" i="21"/>
  <c r="I12" i="21" s="1"/>
  <c r="G12" i="21"/>
  <c r="R11" i="14"/>
  <c r="CX83" i="26" s="1"/>
  <c r="DH83" i="26" s="1"/>
  <c r="AK9" i="36"/>
  <c r="AK9" i="14" s="1"/>
  <c r="AH10" i="14"/>
  <c r="AY10" i="14" s="1"/>
  <c r="AL7" i="21"/>
  <c r="AK11" i="22"/>
  <c r="D27" i="38"/>
  <c r="R12" i="20"/>
  <c r="M28" i="38"/>
  <c r="P28" i="38" s="1"/>
  <c r="E28" i="38" s="1"/>
  <c r="X28" i="38"/>
  <c r="AA28" i="38" s="1"/>
  <c r="F28" i="38" s="1"/>
  <c r="T29" i="38"/>
  <c r="AR29" i="38"/>
  <c r="AS29" i="38" s="1"/>
  <c r="AT29" i="38" s="1"/>
  <c r="AI11" i="36"/>
  <c r="AI11" i="14" s="1"/>
  <c r="U29" i="38"/>
  <c r="C12" i="36"/>
  <c r="H29" i="38"/>
  <c r="AF29" i="38"/>
  <c r="AI29" i="38"/>
  <c r="J29" i="38"/>
  <c r="V29" i="38"/>
  <c r="AJ29" i="38"/>
  <c r="R29" i="38"/>
  <c r="AG29" i="38"/>
  <c r="AH29" i="38"/>
  <c r="I29" i="38"/>
  <c r="S29" i="38"/>
  <c r="AE29" i="38"/>
  <c r="AC29" i="38"/>
  <c r="W29" i="38"/>
  <c r="AK28" i="38"/>
  <c r="AD29" i="38"/>
  <c r="C30" i="38"/>
  <c r="C24" i="35"/>
  <c r="AF24" i="35" s="1"/>
  <c r="Y12" i="23"/>
  <c r="X12" i="23"/>
  <c r="Y12" i="22"/>
  <c r="X12" i="22"/>
  <c r="C13" i="21"/>
  <c r="D13" i="21" s="1"/>
  <c r="C13" i="20"/>
  <c r="C13" i="22"/>
  <c r="T11" i="20"/>
  <c r="R12" i="21"/>
  <c r="T12" i="21" s="1"/>
  <c r="T11" i="21"/>
  <c r="C16" i="25"/>
  <c r="C13" i="23"/>
  <c r="AT11" i="36" l="1"/>
  <c r="AU11" i="36" s="1"/>
  <c r="AJ11" i="36" s="1"/>
  <c r="AK11" i="36" s="1"/>
  <c r="AK11" i="14" s="1"/>
  <c r="AS12" i="36"/>
  <c r="AQ12" i="36"/>
  <c r="AR12" i="36"/>
  <c r="B14" i="35"/>
  <c r="B20" i="38"/>
  <c r="L20" i="35"/>
  <c r="L20" i="14" s="1"/>
  <c r="A27" i="38"/>
  <c r="AP20" i="36" s="1"/>
  <c r="AR6" i="37"/>
  <c r="AN7" i="37"/>
  <c r="AV12" i="20"/>
  <c r="D13" i="20"/>
  <c r="AU13" i="21"/>
  <c r="AA13" i="23"/>
  <c r="AA13" i="22"/>
  <c r="C25" i="37"/>
  <c r="AE16" i="25"/>
  <c r="AK16" i="25" s="1"/>
  <c r="M16" i="25"/>
  <c r="W16" i="25"/>
  <c r="Q16" i="25"/>
  <c r="O16" i="25"/>
  <c r="N16" i="25"/>
  <c r="P16" i="25"/>
  <c r="AE13" i="24"/>
  <c r="AK13" i="24" s="1"/>
  <c r="W13" i="24"/>
  <c r="W13" i="23"/>
  <c r="AE13" i="23"/>
  <c r="AK13" i="23" s="1"/>
  <c r="AE13" i="22"/>
  <c r="W13" i="22"/>
  <c r="G12" i="14"/>
  <c r="G13" i="20"/>
  <c r="AK23" i="35"/>
  <c r="AK24" i="35"/>
  <c r="Y30" i="38"/>
  <c r="N30" i="38"/>
  <c r="AH12" i="36"/>
  <c r="AG12" i="36"/>
  <c r="AG12" i="14" s="1"/>
  <c r="T15" i="25"/>
  <c r="AK12" i="24"/>
  <c r="C14" i="24"/>
  <c r="O30" i="38"/>
  <c r="Z30" i="38"/>
  <c r="AE12" i="14"/>
  <c r="AL9" i="36"/>
  <c r="AM9" i="36" s="1"/>
  <c r="H13" i="21"/>
  <c r="I13" i="21" s="1"/>
  <c r="G13" i="21"/>
  <c r="R12" i="14"/>
  <c r="AK10" i="36"/>
  <c r="AK10" i="14" s="1"/>
  <c r="AH11" i="14"/>
  <c r="AY11" i="14" s="1"/>
  <c r="AM7" i="21"/>
  <c r="R13" i="20"/>
  <c r="M29" i="38"/>
  <c r="P29" i="38" s="1"/>
  <c r="E29" i="38" s="1"/>
  <c r="X29" i="38"/>
  <c r="AA29" i="38" s="1"/>
  <c r="F29" i="38" s="1"/>
  <c r="U30" i="38"/>
  <c r="AR30" i="38"/>
  <c r="AS30" i="38" s="1"/>
  <c r="AT30" i="38" s="1"/>
  <c r="AI12" i="36"/>
  <c r="AI12" i="14" s="1"/>
  <c r="D28" i="38"/>
  <c r="AH30" i="38"/>
  <c r="H30" i="38"/>
  <c r="C13" i="36"/>
  <c r="AG30" i="38"/>
  <c r="I30" i="38"/>
  <c r="T30" i="38"/>
  <c r="AJ30" i="38"/>
  <c r="W30" i="38"/>
  <c r="AK29" i="38"/>
  <c r="AC30" i="38"/>
  <c r="AE30" i="38"/>
  <c r="J30" i="38"/>
  <c r="S30" i="38"/>
  <c r="AD30" i="38"/>
  <c r="V30" i="38"/>
  <c r="AI30" i="38"/>
  <c r="AF30" i="38"/>
  <c r="R30" i="38"/>
  <c r="C31" i="38"/>
  <c r="C25" i="35"/>
  <c r="AF25" i="35" s="1"/>
  <c r="X13" i="22"/>
  <c r="Y13" i="22"/>
  <c r="X13" i="23"/>
  <c r="Y13" i="23"/>
  <c r="C14" i="21"/>
  <c r="D14" i="21" s="1"/>
  <c r="C14" i="22"/>
  <c r="AK12" i="22"/>
  <c r="C14" i="20"/>
  <c r="D14" i="20" s="1"/>
  <c r="R13" i="21"/>
  <c r="T13" i="21" s="1"/>
  <c r="T12" i="20"/>
  <c r="C17" i="25"/>
  <c r="C14" i="23"/>
  <c r="AT12" i="36" l="1"/>
  <c r="AU12" i="36" s="1"/>
  <c r="AJ12" i="36" s="1"/>
  <c r="AJ12" i="14" s="1"/>
  <c r="AS13" i="36"/>
  <c r="AQ13" i="36"/>
  <c r="AR13" i="36"/>
  <c r="B21" i="38"/>
  <c r="B15" i="35"/>
  <c r="L21" i="35"/>
  <c r="L21" i="14" s="1"/>
  <c r="A28" i="38"/>
  <c r="AP21" i="36" s="1"/>
  <c r="V6" i="37"/>
  <c r="F6" i="37" s="1"/>
  <c r="Z6" i="22" s="1"/>
  <c r="AC6" i="22" s="1"/>
  <c r="AR7" i="37"/>
  <c r="AN8" i="37"/>
  <c r="AR8" i="37" s="1"/>
  <c r="AU14" i="21"/>
  <c r="AV13" i="20"/>
  <c r="AA14" i="23"/>
  <c r="Z14" i="22"/>
  <c r="AA14" i="22"/>
  <c r="C26" i="37"/>
  <c r="AE14" i="24"/>
  <c r="AK14" i="24" s="1"/>
  <c r="W14" i="24"/>
  <c r="AE17" i="25"/>
  <c r="AK17" i="25" s="1"/>
  <c r="O17" i="25"/>
  <c r="N17" i="25"/>
  <c r="Q17" i="25"/>
  <c r="W17" i="25"/>
  <c r="M17" i="25"/>
  <c r="P17" i="25"/>
  <c r="W14" i="23"/>
  <c r="AE14" i="23"/>
  <c r="AE14" i="22"/>
  <c r="W14" i="22"/>
  <c r="G13" i="14"/>
  <c r="G14" i="20"/>
  <c r="AF24" i="14"/>
  <c r="AK25" i="35"/>
  <c r="Y31" i="38"/>
  <c r="N31" i="38"/>
  <c r="AH13" i="36"/>
  <c r="AG13" i="36"/>
  <c r="AG13" i="14" s="1"/>
  <c r="T16" i="25"/>
  <c r="C15" i="24"/>
  <c r="O31" i="38"/>
  <c r="Z31" i="38"/>
  <c r="AE13" i="14"/>
  <c r="AL10" i="36"/>
  <c r="AM10" i="36" s="1"/>
  <c r="H14" i="21"/>
  <c r="I14" i="21" s="1"/>
  <c r="G14" i="21"/>
  <c r="R13" i="14"/>
  <c r="AH12" i="14"/>
  <c r="AY12" i="14" s="1"/>
  <c r="AJ11" i="14"/>
  <c r="CX93" i="26" s="1"/>
  <c r="DH93" i="26" s="1"/>
  <c r="X30" i="38"/>
  <c r="AA30" i="38" s="1"/>
  <c r="F30" i="38" s="1"/>
  <c r="M30" i="38"/>
  <c r="P30" i="38" s="1"/>
  <c r="E30" i="38" s="1"/>
  <c r="T31" i="38"/>
  <c r="AR31" i="38"/>
  <c r="AS31" i="38" s="1"/>
  <c r="AT31" i="38" s="1"/>
  <c r="R14" i="20"/>
  <c r="AI13" i="36"/>
  <c r="AI13" i="14" s="1"/>
  <c r="C14" i="36"/>
  <c r="AL11" i="36"/>
  <c r="AH31" i="38"/>
  <c r="I31" i="38"/>
  <c r="V31" i="38"/>
  <c r="AG31" i="38"/>
  <c r="J31" i="38"/>
  <c r="AF31" i="38"/>
  <c r="AK30" i="38"/>
  <c r="D29" i="38"/>
  <c r="AC31" i="38"/>
  <c r="AE31" i="38"/>
  <c r="S31" i="38"/>
  <c r="H31" i="38"/>
  <c r="W31" i="38"/>
  <c r="AI31" i="38"/>
  <c r="R31" i="38"/>
  <c r="AJ31" i="38"/>
  <c r="U31" i="38"/>
  <c r="AD31" i="38"/>
  <c r="C32" i="38"/>
  <c r="C26" i="35"/>
  <c r="AF26" i="35" s="1"/>
  <c r="Y14" i="23"/>
  <c r="X14" i="23"/>
  <c r="X14" i="22"/>
  <c r="Y14" i="22"/>
  <c r="C15" i="21"/>
  <c r="D15" i="21" s="1"/>
  <c r="C15" i="22"/>
  <c r="AK13" i="22"/>
  <c r="C15" i="20"/>
  <c r="T13" i="20"/>
  <c r="R14" i="21"/>
  <c r="T14" i="21" s="1"/>
  <c r="C18" i="25"/>
  <c r="C15" i="23"/>
  <c r="L71" i="20"/>
  <c r="AH71" i="20"/>
  <c r="AT13" i="36" l="1"/>
  <c r="AU13" i="36" s="1"/>
  <c r="AJ13" i="36" s="1"/>
  <c r="AJ13" i="14" s="1"/>
  <c r="AS14" i="36"/>
  <c r="AQ14" i="36"/>
  <c r="AR14" i="36"/>
  <c r="B16" i="35"/>
  <c r="B22" i="38"/>
  <c r="L22" i="35"/>
  <c r="L22" i="14" s="1"/>
  <c r="A29" i="38"/>
  <c r="AP22" i="36" s="1"/>
  <c r="V7" i="37"/>
  <c r="F7" i="37" s="1"/>
  <c r="Z11" i="22"/>
  <c r="Z8" i="22"/>
  <c r="Z13" i="22"/>
  <c r="AN9" i="37"/>
  <c r="AV14" i="20"/>
  <c r="D15" i="20"/>
  <c r="AU15" i="21"/>
  <c r="AA15" i="23"/>
  <c r="Z15" i="22"/>
  <c r="AA15" i="22"/>
  <c r="C27" i="37"/>
  <c r="AE15" i="23"/>
  <c r="W15" i="23"/>
  <c r="AE15" i="22"/>
  <c r="AE18" i="25"/>
  <c r="AK18" i="25" s="1"/>
  <c r="Q18" i="25"/>
  <c r="P18" i="25"/>
  <c r="N18" i="25"/>
  <c r="M18" i="25"/>
  <c r="W18" i="25"/>
  <c r="O18" i="25"/>
  <c r="AE15" i="24"/>
  <c r="AK15" i="24" s="1"/>
  <c r="W15" i="24"/>
  <c r="G14" i="14"/>
  <c r="G15" i="20"/>
  <c r="AF25" i="14"/>
  <c r="AF26" i="14"/>
  <c r="Y32" i="38"/>
  <c r="N32" i="38"/>
  <c r="AH14" i="36"/>
  <c r="AG14" i="36"/>
  <c r="AG14" i="14" s="1"/>
  <c r="T17" i="25"/>
  <c r="C16" i="24"/>
  <c r="Z32" i="38"/>
  <c r="O32" i="38"/>
  <c r="H15" i="21"/>
  <c r="I15" i="21" s="1"/>
  <c r="G15" i="21"/>
  <c r="AE14" i="14"/>
  <c r="R14" i="14"/>
  <c r="AK12" i="36"/>
  <c r="AK12" i="14" s="1"/>
  <c r="AH13" i="14"/>
  <c r="AY13" i="14" s="1"/>
  <c r="AK14" i="22"/>
  <c r="T14" i="20"/>
  <c r="R15" i="20"/>
  <c r="X31" i="38"/>
  <c r="AA31" i="38" s="1"/>
  <c r="F31" i="38" s="1"/>
  <c r="M31" i="38"/>
  <c r="P31" i="38" s="1"/>
  <c r="E31" i="38" s="1"/>
  <c r="W32" i="38"/>
  <c r="AR32" i="38"/>
  <c r="AS32" i="38" s="1"/>
  <c r="AT32" i="38" s="1"/>
  <c r="AI14" i="36"/>
  <c r="AI14" i="14" s="1"/>
  <c r="D30" i="38"/>
  <c r="C15" i="36"/>
  <c r="AM11" i="36"/>
  <c r="AK31" i="38"/>
  <c r="AE32" i="38"/>
  <c r="I32" i="38"/>
  <c r="AG32" i="38"/>
  <c r="S32" i="38"/>
  <c r="R32" i="38"/>
  <c r="AD32" i="38"/>
  <c r="U32" i="38"/>
  <c r="H32" i="38"/>
  <c r="AF32" i="38"/>
  <c r="T32" i="38"/>
  <c r="AI32" i="38"/>
  <c r="V32" i="38"/>
  <c r="AJ32" i="38"/>
  <c r="J32" i="38"/>
  <c r="AH32" i="38"/>
  <c r="AC32" i="38"/>
  <c r="C33" i="38"/>
  <c r="C27" i="35"/>
  <c r="AF27" i="35" s="1"/>
  <c r="X15" i="22"/>
  <c r="Y15" i="22"/>
  <c r="X15" i="23"/>
  <c r="Y15" i="23"/>
  <c r="C16" i="21"/>
  <c r="C16" i="22"/>
  <c r="AK14" i="23"/>
  <c r="C16" i="20"/>
  <c r="R15" i="21"/>
  <c r="T15" i="21" s="1"/>
  <c r="C19" i="25"/>
  <c r="C16" i="23"/>
  <c r="AK71" i="20"/>
  <c r="AQ15" i="36" l="1"/>
  <c r="AS15" i="36"/>
  <c r="AR15" i="36"/>
  <c r="B17" i="35"/>
  <c r="B23" i="38"/>
  <c r="AT14" i="36"/>
  <c r="AU14" i="36" s="1"/>
  <c r="AJ14" i="36" s="1"/>
  <c r="AJ14" i="14" s="1"/>
  <c r="L23" i="35"/>
  <c r="L23" i="14" s="1"/>
  <c r="A30" i="38"/>
  <c r="AP23" i="36" s="1"/>
  <c r="F29" i="37"/>
  <c r="Z12" i="22"/>
  <c r="X14" i="24"/>
  <c r="X13" i="24"/>
  <c r="AA15" i="25"/>
  <c r="AA14" i="24"/>
  <c r="Z17" i="25"/>
  <c r="AA13" i="24"/>
  <c r="Z7" i="22"/>
  <c r="CY75" i="26"/>
  <c r="DI75" i="26"/>
  <c r="D16" i="21"/>
  <c r="AU16" i="21" s="1"/>
  <c r="CY74" i="26"/>
  <c r="DI74" i="26"/>
  <c r="CY76" i="26"/>
  <c r="DI76" i="26"/>
  <c r="AR9" i="37"/>
  <c r="AV15" i="20"/>
  <c r="D16" i="20"/>
  <c r="Z16" i="24"/>
  <c r="AA16" i="24"/>
  <c r="AA16" i="23"/>
  <c r="AA19" i="25"/>
  <c r="Z19" i="25"/>
  <c r="Z16" i="22"/>
  <c r="AA16" i="22"/>
  <c r="C28" i="37"/>
  <c r="Z14" i="24" s="1"/>
  <c r="Y12" i="24"/>
  <c r="Y8" i="25"/>
  <c r="X6" i="23"/>
  <c r="X8" i="23"/>
  <c r="X15" i="25"/>
  <c r="X8" i="24"/>
  <c r="Y11" i="25"/>
  <c r="X13" i="25"/>
  <c r="Y8" i="23"/>
  <c r="Y17" i="25"/>
  <c r="X11" i="25"/>
  <c r="X10" i="25"/>
  <c r="Y15" i="25"/>
  <c r="X10" i="24"/>
  <c r="Y10" i="24"/>
  <c r="Y10" i="25"/>
  <c r="Y8" i="24"/>
  <c r="Y6" i="23"/>
  <c r="Y13" i="25"/>
  <c r="Z6" i="23"/>
  <c r="X8" i="25"/>
  <c r="X12" i="24"/>
  <c r="X17" i="25"/>
  <c r="AE16" i="24"/>
  <c r="AK16" i="24" s="1"/>
  <c r="W16" i="23"/>
  <c r="AE16" i="23"/>
  <c r="AE19" i="25"/>
  <c r="AK19" i="25" s="1"/>
  <c r="W19" i="25"/>
  <c r="P19" i="25"/>
  <c r="O19" i="25"/>
  <c r="M19" i="25"/>
  <c r="N19" i="25"/>
  <c r="Q19" i="25"/>
  <c r="AE16" i="22"/>
  <c r="G15" i="14"/>
  <c r="AK26" i="35"/>
  <c r="AK27" i="35"/>
  <c r="Y33" i="38"/>
  <c r="N33" i="38"/>
  <c r="AH15" i="36"/>
  <c r="AG15" i="36"/>
  <c r="AG15" i="14" s="1"/>
  <c r="G16" i="20"/>
  <c r="Y19" i="25"/>
  <c r="X19" i="25"/>
  <c r="T18" i="25"/>
  <c r="Y16" i="24"/>
  <c r="X16" i="24"/>
  <c r="C17" i="24"/>
  <c r="Z33" i="38"/>
  <c r="O33" i="38"/>
  <c r="AL12" i="36"/>
  <c r="AM12" i="36" s="1"/>
  <c r="H16" i="21"/>
  <c r="I16" i="21" s="1"/>
  <c r="G16" i="21"/>
  <c r="AE15" i="14"/>
  <c r="R15" i="14"/>
  <c r="AK13" i="36"/>
  <c r="AL13" i="36" s="1"/>
  <c r="AH14" i="14"/>
  <c r="AY14" i="14" s="1"/>
  <c r="AK15" i="22"/>
  <c r="T15" i="20"/>
  <c r="U33" i="38"/>
  <c r="AT33" i="38"/>
  <c r="AR33" i="38"/>
  <c r="AS33" i="38" s="1"/>
  <c r="R16" i="20"/>
  <c r="M32" i="38"/>
  <c r="P32" i="38" s="1"/>
  <c r="E32" i="38" s="1"/>
  <c r="X32" i="38"/>
  <c r="AA32" i="38" s="1"/>
  <c r="F32" i="38" s="1"/>
  <c r="AI15" i="36"/>
  <c r="AI15" i="14" s="1"/>
  <c r="C16" i="36"/>
  <c r="AC33" i="38"/>
  <c r="H33" i="38"/>
  <c r="J33" i="38"/>
  <c r="AK32" i="38"/>
  <c r="AE33" i="38"/>
  <c r="D31" i="38"/>
  <c r="I33" i="38"/>
  <c r="T33" i="38"/>
  <c r="AI33" i="38"/>
  <c r="S33" i="38"/>
  <c r="W33" i="38"/>
  <c r="AJ33" i="38"/>
  <c r="AD33" i="38"/>
  <c r="AF33" i="38"/>
  <c r="R33" i="38"/>
  <c r="V33" i="38"/>
  <c r="AG33" i="38"/>
  <c r="AH33" i="38"/>
  <c r="C34" i="38"/>
  <c r="C28" i="35"/>
  <c r="AF28" i="35" s="1"/>
  <c r="C17" i="21"/>
  <c r="D17" i="21" s="1"/>
  <c r="X16" i="22"/>
  <c r="Y16" i="22"/>
  <c r="Y16" i="23"/>
  <c r="X16" i="23"/>
  <c r="C17" i="22"/>
  <c r="AK15" i="23"/>
  <c r="C17" i="20"/>
  <c r="R16" i="21"/>
  <c r="T16" i="21" s="1"/>
  <c r="C20" i="25"/>
  <c r="C17" i="23"/>
  <c r="B18" i="35" l="1"/>
  <c r="B24" i="38"/>
  <c r="AS16" i="36"/>
  <c r="AQ16" i="36"/>
  <c r="AR16" i="36"/>
  <c r="AT15" i="36"/>
  <c r="AU15" i="36" s="1"/>
  <c r="AJ15" i="36" s="1"/>
  <c r="AJ15" i="14" s="1"/>
  <c r="L24" i="35"/>
  <c r="L24" i="14" s="1"/>
  <c r="A31" i="38"/>
  <c r="AP24" i="36" s="1"/>
  <c r="Z15" i="25"/>
  <c r="AC15" i="25" s="1"/>
  <c r="Y14" i="24"/>
  <c r="Z12" i="24"/>
  <c r="AA12" i="24"/>
  <c r="Z16" i="25"/>
  <c r="AA11" i="24"/>
  <c r="Z14" i="25"/>
  <c r="X15" i="24"/>
  <c r="X15" i="14" s="1"/>
  <c r="Z18" i="25"/>
  <c r="AA16" i="25"/>
  <c r="AA16" i="14" s="1"/>
  <c r="AA18" i="25"/>
  <c r="Y15" i="24"/>
  <c r="Y15" i="14" s="1"/>
  <c r="Y13" i="24"/>
  <c r="Y13" i="14" s="1"/>
  <c r="Z15" i="24"/>
  <c r="AA17" i="25"/>
  <c r="AC17" i="25" s="1"/>
  <c r="Z11" i="24"/>
  <c r="AA15" i="24"/>
  <c r="AA15" i="14" s="1"/>
  <c r="Z13" i="24"/>
  <c r="AV16" i="20"/>
  <c r="D17" i="20"/>
  <c r="AU17" i="21"/>
  <c r="Z17" i="24"/>
  <c r="AA17" i="24"/>
  <c r="Z17" i="22"/>
  <c r="AA17" i="22"/>
  <c r="AA17" i="23"/>
  <c r="Z20" i="25"/>
  <c r="AA20" i="25"/>
  <c r="Y8" i="14"/>
  <c r="Y10" i="14"/>
  <c r="X10" i="14"/>
  <c r="X13" i="14"/>
  <c r="X8" i="14"/>
  <c r="Y6" i="25"/>
  <c r="X6" i="24"/>
  <c r="Z6" i="24"/>
  <c r="Y6" i="24"/>
  <c r="Z6" i="25"/>
  <c r="X6" i="25"/>
  <c r="Y14" i="25"/>
  <c r="X11" i="24"/>
  <c r="X11" i="14" s="1"/>
  <c r="X16" i="25"/>
  <c r="X16" i="14" s="1"/>
  <c r="Y7" i="25"/>
  <c r="Y16" i="25"/>
  <c r="Y16" i="14" s="1"/>
  <c r="Y7" i="23"/>
  <c r="X9" i="24"/>
  <c r="Y18" i="25"/>
  <c r="Y12" i="25"/>
  <c r="Y12" i="14" s="1"/>
  <c r="Y9" i="24"/>
  <c r="X12" i="25"/>
  <c r="X12" i="14" s="1"/>
  <c r="X7" i="25"/>
  <c r="X7" i="23"/>
  <c r="Y9" i="25"/>
  <c r="X18" i="25"/>
  <c r="Y7" i="24"/>
  <c r="X14" i="25"/>
  <c r="X9" i="23"/>
  <c r="X7" i="24"/>
  <c r="X9" i="25"/>
  <c r="Y11" i="24"/>
  <c r="Y11" i="14" s="1"/>
  <c r="Y9" i="23"/>
  <c r="AE20" i="25"/>
  <c r="AK20" i="25" s="1"/>
  <c r="M20" i="25"/>
  <c r="W20" i="25"/>
  <c r="Q20" i="25"/>
  <c r="O20" i="25"/>
  <c r="P20" i="25"/>
  <c r="N20" i="25"/>
  <c r="AE17" i="24"/>
  <c r="AK17" i="24" s="1"/>
  <c r="W17" i="23"/>
  <c r="AE17" i="23"/>
  <c r="AE17" i="22"/>
  <c r="AF27" i="14"/>
  <c r="AK28" i="35"/>
  <c r="N34" i="38"/>
  <c r="Y34" i="38"/>
  <c r="AH16" i="36"/>
  <c r="AG16" i="36"/>
  <c r="AG16" i="14" s="1"/>
  <c r="G16" i="14"/>
  <c r="G17" i="20"/>
  <c r="T19" i="25"/>
  <c r="AC19" i="25"/>
  <c r="X20" i="25"/>
  <c r="Y20" i="25"/>
  <c r="X17" i="24"/>
  <c r="Y17" i="24"/>
  <c r="C18" i="24"/>
  <c r="Z34" i="38"/>
  <c r="O34" i="38"/>
  <c r="H17" i="21"/>
  <c r="I17" i="21" s="1"/>
  <c r="G17" i="21"/>
  <c r="AE16" i="14"/>
  <c r="CY87" i="26" s="1"/>
  <c r="DI87" i="26" s="1"/>
  <c r="R16" i="14"/>
  <c r="CY83" i="26" s="1"/>
  <c r="DI83" i="26" s="1"/>
  <c r="AM13" i="36"/>
  <c r="AK13" i="14"/>
  <c r="AK14" i="36"/>
  <c r="AL14" i="36" s="1"/>
  <c r="AH15" i="14"/>
  <c r="AY15" i="14" s="1"/>
  <c r="AK16" i="22"/>
  <c r="T16" i="20"/>
  <c r="R17" i="20"/>
  <c r="AE34" i="38"/>
  <c r="AT34" i="38"/>
  <c r="AR34" i="38"/>
  <c r="AS34" i="38" s="1"/>
  <c r="M33" i="38"/>
  <c r="P33" i="38" s="1"/>
  <c r="E33" i="38" s="1"/>
  <c r="X33" i="38"/>
  <c r="AA33" i="38" s="1"/>
  <c r="F33" i="38" s="1"/>
  <c r="AI16" i="36"/>
  <c r="AI16" i="14" s="1"/>
  <c r="D32" i="38"/>
  <c r="AJ34" i="38"/>
  <c r="AI34" i="38"/>
  <c r="C17" i="36"/>
  <c r="AF34" i="38"/>
  <c r="J34" i="38"/>
  <c r="U34" i="38"/>
  <c r="AK33" i="38"/>
  <c r="H34" i="38"/>
  <c r="I34" i="38"/>
  <c r="V34" i="38"/>
  <c r="AG34" i="38"/>
  <c r="S34" i="38"/>
  <c r="AD34" i="38"/>
  <c r="R34" i="38"/>
  <c r="AC34" i="38"/>
  <c r="T34" i="38"/>
  <c r="AH34" i="38"/>
  <c r="W34" i="38"/>
  <c r="C35" i="38"/>
  <c r="C29" i="35"/>
  <c r="AF29" i="35" s="1"/>
  <c r="C18" i="21"/>
  <c r="D18" i="21" s="1"/>
  <c r="X17" i="22"/>
  <c r="Y17" i="22"/>
  <c r="Y17" i="23"/>
  <c r="X17" i="23"/>
  <c r="C18" i="22"/>
  <c r="AK16" i="23"/>
  <c r="C18" i="20"/>
  <c r="D18" i="20" s="1"/>
  <c r="R17" i="21"/>
  <c r="T17" i="21" s="1"/>
  <c r="C21" i="25"/>
  <c r="C18" i="23"/>
  <c r="B19" i="35" l="1"/>
  <c r="B25" i="38"/>
  <c r="AT16" i="36"/>
  <c r="AU16" i="36" s="1"/>
  <c r="AJ16" i="36" s="1"/>
  <c r="AK16" i="36" s="1"/>
  <c r="AS17" i="36"/>
  <c r="AQ17" i="36"/>
  <c r="AR17" i="36"/>
  <c r="L25" i="35"/>
  <c r="L25" i="14" s="1"/>
  <c r="A32" i="38"/>
  <c r="AP25" i="36" s="1"/>
  <c r="Y14" i="14"/>
  <c r="CY88" i="26"/>
  <c r="DI88" i="26" s="1"/>
  <c r="CX88" i="26"/>
  <c r="DH88" i="26" s="1"/>
  <c r="AV17" i="20"/>
  <c r="AU18" i="21"/>
  <c r="AA18" i="24"/>
  <c r="Z18" i="24"/>
  <c r="AA17" i="14"/>
  <c r="AA18" i="23"/>
  <c r="Z18" i="22"/>
  <c r="AA18" i="22"/>
  <c r="Z21" i="25"/>
  <c r="AA21" i="25"/>
  <c r="Z6" i="14"/>
  <c r="Y7" i="14"/>
  <c r="Y6" i="14"/>
  <c r="X9" i="14"/>
  <c r="X7" i="14"/>
  <c r="X14" i="14"/>
  <c r="Y9" i="14"/>
  <c r="AC16" i="25"/>
  <c r="AC18" i="25"/>
  <c r="X6" i="14"/>
  <c r="AE18" i="24"/>
  <c r="AK18" i="24" s="1"/>
  <c r="AE21" i="25"/>
  <c r="AK21" i="25" s="1"/>
  <c r="O21" i="25"/>
  <c r="N21" i="25"/>
  <c r="Q21" i="25"/>
  <c r="P21" i="25"/>
  <c r="M21" i="25"/>
  <c r="W21" i="25"/>
  <c r="AE18" i="23"/>
  <c r="AF28" i="14"/>
  <c r="AF29" i="14"/>
  <c r="Y35" i="38"/>
  <c r="N35" i="38"/>
  <c r="G17" i="14"/>
  <c r="AH17" i="36"/>
  <c r="AG17" i="36"/>
  <c r="AG17" i="14" s="1"/>
  <c r="C19" i="22"/>
  <c r="AE18" i="22"/>
  <c r="G18" i="20"/>
  <c r="T20" i="25"/>
  <c r="AC20" i="25"/>
  <c r="Y21" i="25"/>
  <c r="X21" i="25"/>
  <c r="X18" i="24"/>
  <c r="Y18" i="24"/>
  <c r="C19" i="24"/>
  <c r="O35" i="38"/>
  <c r="Z35" i="38"/>
  <c r="AE17" i="14"/>
  <c r="Y17" i="14"/>
  <c r="AK14" i="14"/>
  <c r="H18" i="21"/>
  <c r="I18" i="21" s="1"/>
  <c r="G18" i="21"/>
  <c r="AK15" i="36"/>
  <c r="AL15" i="36" s="1"/>
  <c r="X17" i="14"/>
  <c r="T17" i="20"/>
  <c r="R17" i="14"/>
  <c r="AM14" i="36"/>
  <c r="AH16" i="14"/>
  <c r="AY16" i="14" s="1"/>
  <c r="AK17" i="22"/>
  <c r="R18" i="20"/>
  <c r="AE35" i="38"/>
  <c r="AT35" i="38"/>
  <c r="AR35" i="38"/>
  <c r="AS35" i="38" s="1"/>
  <c r="X34" i="38"/>
  <c r="AA34" i="38" s="1"/>
  <c r="F34" i="38" s="1"/>
  <c r="M34" i="38"/>
  <c r="P34" i="38" s="1"/>
  <c r="E34" i="38" s="1"/>
  <c r="AI17" i="36"/>
  <c r="AI17" i="14" s="1"/>
  <c r="D33" i="38"/>
  <c r="C18" i="36"/>
  <c r="S35" i="38"/>
  <c r="J35" i="38"/>
  <c r="AK34" i="38"/>
  <c r="I35" i="38"/>
  <c r="H35" i="38"/>
  <c r="AC35" i="38"/>
  <c r="U35" i="38"/>
  <c r="AJ35" i="38"/>
  <c r="W35" i="38"/>
  <c r="AI35" i="38"/>
  <c r="R35" i="38"/>
  <c r="AG35" i="38"/>
  <c r="T35" i="38"/>
  <c r="AD35" i="38"/>
  <c r="AH35" i="38"/>
  <c r="AF35" i="38"/>
  <c r="V35" i="38"/>
  <c r="C36" i="38"/>
  <c r="C30" i="35"/>
  <c r="AF30" i="35" s="1"/>
  <c r="C19" i="21"/>
  <c r="D19" i="21" s="1"/>
  <c r="Y18" i="23"/>
  <c r="X18" i="23"/>
  <c r="X18" i="22"/>
  <c r="Y18" i="22"/>
  <c r="AK17" i="23"/>
  <c r="C19" i="20"/>
  <c r="R18" i="21"/>
  <c r="T18" i="21" s="1"/>
  <c r="C22" i="25"/>
  <c r="C19" i="23"/>
  <c r="AO8" i="37" s="1"/>
  <c r="AJ16" i="14" l="1"/>
  <c r="CY93" i="26" s="1"/>
  <c r="DI93" i="26" s="1"/>
  <c r="AT17" i="36"/>
  <c r="AU17" i="36" s="1"/>
  <c r="AJ17" i="36" s="1"/>
  <c r="AJ17" i="14" s="1"/>
  <c r="B20" i="35"/>
  <c r="B26" i="38"/>
  <c r="AQ18" i="36"/>
  <c r="AS18" i="36"/>
  <c r="AR18" i="36"/>
  <c r="L26" i="35"/>
  <c r="L26" i="14" s="1"/>
  <c r="A33" i="38"/>
  <c r="AP26" i="36" s="1"/>
  <c r="CW88" i="26"/>
  <c r="CW89" i="26" s="1"/>
  <c r="DG89" i="26" s="1"/>
  <c r="AV18" i="20"/>
  <c r="D19" i="20"/>
  <c r="AS8" i="37" s="1"/>
  <c r="AU19" i="21"/>
  <c r="AA18" i="14"/>
  <c r="Z22" i="25"/>
  <c r="AA22" i="25"/>
  <c r="Z19" i="22"/>
  <c r="AA19" i="22"/>
  <c r="Z19" i="23"/>
  <c r="AA19" i="23"/>
  <c r="AA19" i="24"/>
  <c r="Z19" i="24"/>
  <c r="AE19" i="24"/>
  <c r="AE19" i="22"/>
  <c r="AK19" i="22" s="1"/>
  <c r="AE19" i="23"/>
  <c r="AE22" i="25"/>
  <c r="AK22" i="25" s="1"/>
  <c r="Q22" i="25"/>
  <c r="P22" i="25"/>
  <c r="N22" i="25"/>
  <c r="M22" i="25"/>
  <c r="W22" i="25"/>
  <c r="O22" i="25"/>
  <c r="G18" i="14"/>
  <c r="C20" i="22"/>
  <c r="Y19" i="22"/>
  <c r="X19" i="22"/>
  <c r="G19" i="20"/>
  <c r="AK29" i="35"/>
  <c r="AF30" i="14"/>
  <c r="N36" i="38"/>
  <c r="Y36" i="38"/>
  <c r="AH18" i="36"/>
  <c r="AG18" i="36"/>
  <c r="AG18" i="14" s="1"/>
  <c r="T21" i="25"/>
  <c r="AC21" i="25"/>
  <c r="X22" i="25"/>
  <c r="Y22" i="25"/>
  <c r="Y19" i="24"/>
  <c r="X19" i="24"/>
  <c r="C20" i="24"/>
  <c r="Z36" i="38"/>
  <c r="O36" i="38"/>
  <c r="AM15" i="36"/>
  <c r="H19" i="21"/>
  <c r="I19" i="21" s="1"/>
  <c r="G19" i="21"/>
  <c r="AE18" i="14"/>
  <c r="AK15" i="14"/>
  <c r="Y18" i="14"/>
  <c r="X18" i="14"/>
  <c r="R18" i="14"/>
  <c r="AH17" i="14"/>
  <c r="AY17" i="14" s="1"/>
  <c r="AL16" i="36"/>
  <c r="AK16" i="14"/>
  <c r="AK18" i="22"/>
  <c r="T18" i="20"/>
  <c r="R19" i="20"/>
  <c r="X35" i="38"/>
  <c r="AA35" i="38" s="1"/>
  <c r="F35" i="38" s="1"/>
  <c r="M35" i="38"/>
  <c r="P35" i="38" s="1"/>
  <c r="E35" i="38" s="1"/>
  <c r="U36" i="38"/>
  <c r="AT36" i="38"/>
  <c r="AR36" i="38"/>
  <c r="AS36" i="38" s="1"/>
  <c r="AI18" i="36"/>
  <c r="AI18" i="14" s="1"/>
  <c r="D34" i="38"/>
  <c r="AJ36" i="38"/>
  <c r="C19" i="36"/>
  <c r="I36" i="38"/>
  <c r="T36" i="38"/>
  <c r="H36" i="38"/>
  <c r="AH36" i="38"/>
  <c r="J36" i="38"/>
  <c r="AF36" i="38"/>
  <c r="R36" i="38"/>
  <c r="AD36" i="38"/>
  <c r="S36" i="38"/>
  <c r="AK35" i="38"/>
  <c r="AE36" i="38"/>
  <c r="W36" i="38"/>
  <c r="AI36" i="38"/>
  <c r="V36" i="38"/>
  <c r="AC36" i="38"/>
  <c r="AG36" i="38"/>
  <c r="C37" i="38"/>
  <c r="C31" i="35"/>
  <c r="AF31" i="35" s="1"/>
  <c r="C20" i="21"/>
  <c r="D20" i="21" s="1"/>
  <c r="Y19" i="23"/>
  <c r="X19" i="23"/>
  <c r="AK18" i="23"/>
  <c r="C20" i="20"/>
  <c r="R19" i="21"/>
  <c r="T19" i="21" s="1"/>
  <c r="C23" i="25"/>
  <c r="C20" i="23"/>
  <c r="AT18" i="36" l="1"/>
  <c r="AU18" i="36" s="1"/>
  <c r="AJ18" i="36" s="1"/>
  <c r="AJ18" i="14" s="1"/>
  <c r="AS19" i="36"/>
  <c r="AQ19" i="36"/>
  <c r="AR19" i="36"/>
  <c r="B27" i="38"/>
  <c r="B21" i="35"/>
  <c r="L27" i="35"/>
  <c r="L27" i="14" s="1"/>
  <c r="A34" i="38"/>
  <c r="AP27" i="36" s="1"/>
  <c r="DG88" i="26"/>
  <c r="AV19" i="20"/>
  <c r="D20" i="20"/>
  <c r="AU20" i="21"/>
  <c r="Z20" i="22"/>
  <c r="AA20" i="22"/>
  <c r="Z20" i="24"/>
  <c r="AA20" i="24"/>
  <c r="Z20" i="23"/>
  <c r="AA20" i="23"/>
  <c r="AA19" i="14"/>
  <c r="Z23" i="25"/>
  <c r="AA23" i="25"/>
  <c r="Y20" i="22"/>
  <c r="C21" i="22"/>
  <c r="X20" i="22"/>
  <c r="AE19" i="14"/>
  <c r="AK19" i="24"/>
  <c r="AE20" i="22"/>
  <c r="AK20" i="22" s="1"/>
  <c r="AE20" i="23"/>
  <c r="AE23" i="25"/>
  <c r="AK23" i="25" s="1"/>
  <c r="W23" i="25"/>
  <c r="P23" i="25"/>
  <c r="O23" i="25"/>
  <c r="M23" i="25"/>
  <c r="N23" i="25"/>
  <c r="Q23" i="25"/>
  <c r="AE20" i="24"/>
  <c r="AK20" i="24" s="1"/>
  <c r="G19" i="14"/>
  <c r="G20" i="20"/>
  <c r="AK30" i="35"/>
  <c r="AK31" i="35"/>
  <c r="Y37" i="38"/>
  <c r="N37" i="38"/>
  <c r="AH19" i="36"/>
  <c r="AG19" i="36"/>
  <c r="AG19" i="14" s="1"/>
  <c r="AC22" i="25"/>
  <c r="Y23" i="25"/>
  <c r="X23" i="25"/>
  <c r="T22" i="25"/>
  <c r="Z19" i="14"/>
  <c r="Y19" i="14"/>
  <c r="Y20" i="24"/>
  <c r="X20" i="24"/>
  <c r="X19" i="14"/>
  <c r="C21" i="24"/>
  <c r="O37" i="38"/>
  <c r="Z37" i="38"/>
  <c r="AM16" i="36"/>
  <c r="H20" i="21"/>
  <c r="I20" i="21" s="1"/>
  <c r="G20" i="21"/>
  <c r="AK17" i="36"/>
  <c r="AL17" i="36" s="1"/>
  <c r="R19" i="14"/>
  <c r="AH18" i="14"/>
  <c r="AY18" i="14" s="1"/>
  <c r="T19" i="20"/>
  <c r="R20" i="20"/>
  <c r="U37" i="38"/>
  <c r="AT37" i="38"/>
  <c r="AR37" i="38"/>
  <c r="AS37" i="38" s="1"/>
  <c r="M36" i="38"/>
  <c r="P36" i="38" s="1"/>
  <c r="E36" i="38" s="1"/>
  <c r="X36" i="38"/>
  <c r="AA36" i="38" s="1"/>
  <c r="F36" i="38" s="1"/>
  <c r="AI19" i="36"/>
  <c r="AI19" i="14" s="1"/>
  <c r="D35" i="38"/>
  <c r="AF37" i="38"/>
  <c r="C20" i="36"/>
  <c r="AK36" i="38"/>
  <c r="AI37" i="38"/>
  <c r="T37" i="38"/>
  <c r="AE37" i="38"/>
  <c r="S37" i="38"/>
  <c r="AG37" i="38"/>
  <c r="J37" i="38"/>
  <c r="AH37" i="38"/>
  <c r="W37" i="38"/>
  <c r="AD37" i="38"/>
  <c r="V37" i="38"/>
  <c r="AJ37" i="38"/>
  <c r="AC37" i="38"/>
  <c r="R37" i="38"/>
  <c r="I37" i="38"/>
  <c r="H37" i="38"/>
  <c r="C38" i="38"/>
  <c r="C32" i="35"/>
  <c r="AF32" i="35" s="1"/>
  <c r="C21" i="21"/>
  <c r="Y20" i="23"/>
  <c r="X20" i="23"/>
  <c r="R20" i="21"/>
  <c r="T20" i="21" s="1"/>
  <c r="AK19" i="23"/>
  <c r="C21" i="20"/>
  <c r="C24" i="25"/>
  <c r="C21" i="23"/>
  <c r="AK18" i="36" l="1"/>
  <c r="AL18" i="36" s="1"/>
  <c r="AT19" i="36"/>
  <c r="AU19" i="36" s="1"/>
  <c r="AJ19" i="36" s="1"/>
  <c r="AK19" i="36" s="1"/>
  <c r="B22" i="35"/>
  <c r="B28" i="38"/>
  <c r="AS20" i="36"/>
  <c r="AQ20" i="36"/>
  <c r="AR20" i="36"/>
  <c r="L28" i="35"/>
  <c r="L28" i="14" s="1"/>
  <c r="A35" i="38"/>
  <c r="AP28" i="36" s="1"/>
  <c r="D21" i="21"/>
  <c r="AU21" i="21" s="1"/>
  <c r="CZ74" i="26"/>
  <c r="DJ74" i="26"/>
  <c r="X21" i="22"/>
  <c r="CZ75" i="26"/>
  <c r="DJ75" i="26"/>
  <c r="CZ76" i="26"/>
  <c r="DJ76" i="26"/>
  <c r="C22" i="22"/>
  <c r="Z22" i="22" s="1"/>
  <c r="AV20" i="20"/>
  <c r="D21" i="20"/>
  <c r="Y21" i="22"/>
  <c r="Z21" i="23"/>
  <c r="AA21" i="23"/>
  <c r="Z24" i="25"/>
  <c r="AA24" i="25"/>
  <c r="AE21" i="22"/>
  <c r="AK21" i="22" s="1"/>
  <c r="Z21" i="22"/>
  <c r="AA21" i="22"/>
  <c r="Z21" i="24"/>
  <c r="AA21" i="24"/>
  <c r="AA20" i="14"/>
  <c r="AE21" i="24"/>
  <c r="AK21" i="24" s="1"/>
  <c r="AE24" i="25"/>
  <c r="AK24" i="25" s="1"/>
  <c r="M24" i="25"/>
  <c r="W24" i="25"/>
  <c r="Q24" i="25"/>
  <c r="O24" i="25"/>
  <c r="P24" i="25"/>
  <c r="N24" i="25"/>
  <c r="AE21" i="23"/>
  <c r="G20" i="14"/>
  <c r="AF31" i="14"/>
  <c r="AF32" i="14"/>
  <c r="Y38" i="38"/>
  <c r="N38" i="38"/>
  <c r="AH20" i="36"/>
  <c r="AG20" i="36"/>
  <c r="AG20" i="14" s="1"/>
  <c r="G21" i="20"/>
  <c r="AC23" i="25"/>
  <c r="Z20" i="14"/>
  <c r="Y24" i="25"/>
  <c r="X24" i="25"/>
  <c r="T23" i="25"/>
  <c r="X20" i="14"/>
  <c r="AE20" i="14"/>
  <c r="Y20" i="14"/>
  <c r="X21" i="24"/>
  <c r="Y21" i="24"/>
  <c r="C22" i="24"/>
  <c r="O38" i="38"/>
  <c r="Z38" i="38"/>
  <c r="AM17" i="36"/>
  <c r="AK17" i="14"/>
  <c r="H21" i="21"/>
  <c r="I21" i="21" s="1"/>
  <c r="G21" i="21"/>
  <c r="R20" i="14"/>
  <c r="AH19" i="14"/>
  <c r="AY19" i="14" s="1"/>
  <c r="R38" i="38"/>
  <c r="AT38" i="38"/>
  <c r="AR38" i="38"/>
  <c r="AS38" i="38" s="1"/>
  <c r="R21" i="20"/>
  <c r="M37" i="38"/>
  <c r="P37" i="38" s="1"/>
  <c r="E37" i="38" s="1"/>
  <c r="X37" i="38"/>
  <c r="AA37" i="38" s="1"/>
  <c r="F37" i="38" s="1"/>
  <c r="AI20" i="36"/>
  <c r="AI20" i="14" s="1"/>
  <c r="D36" i="38"/>
  <c r="AK37" i="38"/>
  <c r="C21" i="36"/>
  <c r="J38" i="38"/>
  <c r="AG38" i="38"/>
  <c r="I38" i="38"/>
  <c r="AI38" i="38"/>
  <c r="S38" i="38"/>
  <c r="AE38" i="38"/>
  <c r="T38" i="38"/>
  <c r="W38" i="38"/>
  <c r="AJ38" i="38"/>
  <c r="AD38" i="38"/>
  <c r="AF38" i="38"/>
  <c r="H38" i="38"/>
  <c r="AH38" i="38"/>
  <c r="U38" i="38"/>
  <c r="V38" i="38"/>
  <c r="AC38" i="38"/>
  <c r="C39" i="38"/>
  <c r="C22" i="21"/>
  <c r="D22" i="21" s="1"/>
  <c r="C33" i="35"/>
  <c r="AF33" i="35" s="1"/>
  <c r="Y21" i="23"/>
  <c r="X21" i="23"/>
  <c r="R21" i="21"/>
  <c r="T21" i="21" s="1"/>
  <c r="AK20" i="23"/>
  <c r="C22" i="20"/>
  <c r="T20" i="20"/>
  <c r="C25" i="25"/>
  <c r="C22" i="23"/>
  <c r="AK18" i="14" l="1"/>
  <c r="AJ19" i="14"/>
  <c r="Y22" i="22"/>
  <c r="AT20" i="36"/>
  <c r="AU20" i="36" s="1"/>
  <c r="AJ20" i="36" s="1"/>
  <c r="AJ20" i="14" s="1"/>
  <c r="AS21" i="36"/>
  <c r="AQ21" i="36"/>
  <c r="AR21" i="36"/>
  <c r="B29" i="38"/>
  <c r="B23" i="35"/>
  <c r="L29" i="35"/>
  <c r="L29" i="14" s="1"/>
  <c r="A36" i="38"/>
  <c r="AP29" i="36" s="1"/>
  <c r="AA22" i="22"/>
  <c r="AE22" i="22"/>
  <c r="AK22" i="22" s="1"/>
  <c r="C23" i="22"/>
  <c r="Z23" i="22" s="1"/>
  <c r="X22" i="22"/>
  <c r="AV21" i="20"/>
  <c r="D22" i="20"/>
  <c r="AU22" i="21"/>
  <c r="Z22" i="23"/>
  <c r="AA22" i="23"/>
  <c r="Z25" i="25"/>
  <c r="AA25" i="25"/>
  <c r="AA22" i="24"/>
  <c r="Z22" i="24"/>
  <c r="AA21" i="14"/>
  <c r="AE25" i="25"/>
  <c r="AK25" i="25" s="1"/>
  <c r="O25" i="25"/>
  <c r="N25" i="25"/>
  <c r="Q25" i="25"/>
  <c r="W25" i="25"/>
  <c r="M25" i="25"/>
  <c r="P25" i="25"/>
  <c r="AE22" i="23"/>
  <c r="AE22" i="24"/>
  <c r="AK22" i="24" s="1"/>
  <c r="AK32" i="35"/>
  <c r="AF33" i="14"/>
  <c r="Y39" i="38"/>
  <c r="N39" i="38"/>
  <c r="G21" i="14"/>
  <c r="AH21" i="36"/>
  <c r="AG21" i="36"/>
  <c r="AG21" i="14" s="1"/>
  <c r="G22" i="20"/>
  <c r="T24" i="25"/>
  <c r="AC24" i="25"/>
  <c r="Z21" i="14"/>
  <c r="Y25" i="25"/>
  <c r="X25" i="25"/>
  <c r="AE21" i="14"/>
  <c r="CZ87" i="26" s="1"/>
  <c r="DJ87" i="26" s="1"/>
  <c r="Y22" i="24"/>
  <c r="X22" i="24"/>
  <c r="X21" i="14"/>
  <c r="Y21" i="14"/>
  <c r="F22" i="21"/>
  <c r="F22" i="14" s="1"/>
  <c r="C23" i="24"/>
  <c r="Z39" i="38"/>
  <c r="O39" i="38"/>
  <c r="AM18" i="36"/>
  <c r="H22" i="21"/>
  <c r="I22" i="21" s="1"/>
  <c r="G22" i="21"/>
  <c r="R21" i="14"/>
  <c r="CZ83" i="26" s="1"/>
  <c r="DJ83" i="26" s="1"/>
  <c r="AH20" i="14"/>
  <c r="AY20" i="14" s="1"/>
  <c r="AL19" i="36"/>
  <c r="AK19" i="14"/>
  <c r="T39" i="38"/>
  <c r="AT39" i="38"/>
  <c r="AR39" i="38"/>
  <c r="AS39" i="38" s="1"/>
  <c r="R22" i="20"/>
  <c r="M38" i="38"/>
  <c r="P38" i="38" s="1"/>
  <c r="E38" i="38" s="1"/>
  <c r="X38" i="38"/>
  <c r="AA38" i="38" s="1"/>
  <c r="F38" i="38" s="1"/>
  <c r="AI21" i="36"/>
  <c r="AI21" i="14" s="1"/>
  <c r="C22" i="36"/>
  <c r="AK38" i="38"/>
  <c r="D37" i="38"/>
  <c r="C23" i="21"/>
  <c r="D23" i="21" s="1"/>
  <c r="AH39" i="38"/>
  <c r="I39" i="38"/>
  <c r="AI39" i="38"/>
  <c r="S39" i="38"/>
  <c r="AD39" i="38"/>
  <c r="R39" i="38"/>
  <c r="J39" i="38"/>
  <c r="V39" i="38"/>
  <c r="AC39" i="38"/>
  <c r="AE39" i="38"/>
  <c r="H39" i="38"/>
  <c r="AF39" i="38"/>
  <c r="W39" i="38"/>
  <c r="AG39" i="38"/>
  <c r="U39" i="38"/>
  <c r="AJ39" i="38"/>
  <c r="C40" i="38"/>
  <c r="C34" i="35"/>
  <c r="AF34" i="35" s="1"/>
  <c r="Y22" i="23"/>
  <c r="X22" i="23"/>
  <c r="AK21" i="23"/>
  <c r="C23" i="20"/>
  <c r="D23" i="20" s="1"/>
  <c r="R22" i="21"/>
  <c r="T22" i="21" s="1"/>
  <c r="T21" i="20"/>
  <c r="C26" i="25"/>
  <c r="C23" i="23"/>
  <c r="AK20" i="36" l="1"/>
  <c r="AL20" i="36" s="1"/>
  <c r="B24" i="35"/>
  <c r="B30" i="38"/>
  <c r="AS22" i="36"/>
  <c r="AQ22" i="36"/>
  <c r="AR22" i="36"/>
  <c r="AT21" i="36"/>
  <c r="AU21" i="36" s="1"/>
  <c r="AJ21" i="36" s="1"/>
  <c r="AJ21" i="14" s="1"/>
  <c r="CZ93" i="26" s="1"/>
  <c r="DJ93" i="26" s="1"/>
  <c r="L30" i="35"/>
  <c r="L30" i="14" s="1"/>
  <c r="A37" i="38"/>
  <c r="AP30" i="36" s="1"/>
  <c r="CZ88" i="26"/>
  <c r="DJ88" i="26" s="1"/>
  <c r="AE23" i="22"/>
  <c r="AK23" i="22" s="1"/>
  <c r="Y23" i="22"/>
  <c r="C24" i="22"/>
  <c r="AE24" i="22" s="1"/>
  <c r="X23" i="22"/>
  <c r="AA23" i="22"/>
  <c r="AV22" i="20"/>
  <c r="AU23" i="21"/>
  <c r="AA22" i="14"/>
  <c r="AA23" i="24"/>
  <c r="Z23" i="24"/>
  <c r="Z23" i="23"/>
  <c r="AA23" i="23"/>
  <c r="Z26" i="25"/>
  <c r="AA26" i="25"/>
  <c r="AE23" i="24"/>
  <c r="AK23" i="24" s="1"/>
  <c r="AE23" i="23"/>
  <c r="AE26" i="25"/>
  <c r="AK26" i="25" s="1"/>
  <c r="Q26" i="25"/>
  <c r="P26" i="25"/>
  <c r="N26" i="25"/>
  <c r="M26" i="25"/>
  <c r="O26" i="25"/>
  <c r="W26" i="25"/>
  <c r="AK33" i="35"/>
  <c r="G22" i="14"/>
  <c r="G23" i="20"/>
  <c r="AF34" i="14"/>
  <c r="Y40" i="38"/>
  <c r="N40" i="38"/>
  <c r="AH22" i="36"/>
  <c r="AG22" i="36"/>
  <c r="AG22" i="14" s="1"/>
  <c r="T25" i="25"/>
  <c r="AC25" i="25"/>
  <c r="Y26" i="25"/>
  <c r="X26" i="25"/>
  <c r="Y22" i="14"/>
  <c r="F23" i="21"/>
  <c r="F23" i="14" s="1"/>
  <c r="X22" i="14"/>
  <c r="Y23" i="24"/>
  <c r="X23" i="24"/>
  <c r="Z22" i="14"/>
  <c r="AE22" i="14"/>
  <c r="C24" i="24"/>
  <c r="Z40" i="38"/>
  <c r="O40" i="38"/>
  <c r="AM19" i="36"/>
  <c r="H23" i="21"/>
  <c r="I23" i="21" s="1"/>
  <c r="G23" i="21"/>
  <c r="R22" i="14"/>
  <c r="AH21" i="14"/>
  <c r="AY21" i="14" s="1"/>
  <c r="T22" i="20"/>
  <c r="R23" i="20"/>
  <c r="M39" i="38"/>
  <c r="P39" i="38" s="1"/>
  <c r="E39" i="38" s="1"/>
  <c r="X39" i="38"/>
  <c r="AA39" i="38" s="1"/>
  <c r="F39" i="38" s="1"/>
  <c r="AT40" i="38"/>
  <c r="AR40" i="38"/>
  <c r="AS40" i="38" s="1"/>
  <c r="AI22" i="36"/>
  <c r="AI22" i="14" s="1"/>
  <c r="C23" i="36"/>
  <c r="D38" i="38"/>
  <c r="C24" i="21"/>
  <c r="D24" i="21" s="1"/>
  <c r="AK39" i="38"/>
  <c r="H40" i="38"/>
  <c r="R40" i="38"/>
  <c r="AJ40" i="38"/>
  <c r="U40" i="38"/>
  <c r="AF40" i="38"/>
  <c r="V40" i="38"/>
  <c r="I40" i="38"/>
  <c r="AH40" i="38"/>
  <c r="W40" i="38"/>
  <c r="T40" i="38"/>
  <c r="AI40" i="38"/>
  <c r="AG40" i="38"/>
  <c r="S40" i="38"/>
  <c r="AE40" i="38"/>
  <c r="AD40" i="38"/>
  <c r="J40" i="38"/>
  <c r="AC40" i="38"/>
  <c r="C41" i="38"/>
  <c r="C35" i="35"/>
  <c r="AF35" i="35" s="1"/>
  <c r="X23" i="23"/>
  <c r="Y23" i="23"/>
  <c r="AK22" i="23"/>
  <c r="C24" i="20"/>
  <c r="R23" i="21"/>
  <c r="T23" i="21" s="1"/>
  <c r="C27" i="25"/>
  <c r="C24" i="23"/>
  <c r="AK20" i="14" l="1"/>
  <c r="AT22" i="36"/>
  <c r="AU22" i="36" s="1"/>
  <c r="AJ22" i="36" s="1"/>
  <c r="AK22" i="36" s="1"/>
  <c r="B25" i="35"/>
  <c r="B31" i="38"/>
  <c r="AQ23" i="36"/>
  <c r="AS23" i="36"/>
  <c r="AR23" i="36"/>
  <c r="L31" i="35"/>
  <c r="L31" i="14" s="1"/>
  <c r="A38" i="38"/>
  <c r="AP31" i="36" s="1"/>
  <c r="X24" i="22"/>
  <c r="Z24" i="22"/>
  <c r="C25" i="22"/>
  <c r="X25" i="22" s="1"/>
  <c r="Y24" i="22"/>
  <c r="AA24" i="22"/>
  <c r="AV23" i="20"/>
  <c r="D24" i="20"/>
  <c r="AU24" i="21"/>
  <c r="AA23" i="14"/>
  <c r="Z24" i="23"/>
  <c r="AA24" i="23"/>
  <c r="Z24" i="24"/>
  <c r="AA24" i="24"/>
  <c r="Z27" i="25"/>
  <c r="AA27" i="25"/>
  <c r="AE24" i="23"/>
  <c r="AE27" i="25"/>
  <c r="AK27" i="25" s="1"/>
  <c r="W27" i="25"/>
  <c r="P27" i="25"/>
  <c r="O27" i="25"/>
  <c r="M27" i="25"/>
  <c r="N27" i="25"/>
  <c r="Q27" i="25"/>
  <c r="AE24" i="24"/>
  <c r="AK24" i="24" s="1"/>
  <c r="G23" i="14"/>
  <c r="AK34" i="35"/>
  <c r="G24" i="20"/>
  <c r="AF35" i="14"/>
  <c r="Y41" i="38"/>
  <c r="N41" i="38"/>
  <c r="AH23" i="36"/>
  <c r="AG23" i="36"/>
  <c r="AG23" i="14" s="1"/>
  <c r="T26" i="25"/>
  <c r="AC26" i="25"/>
  <c r="F24" i="21"/>
  <c r="F24" i="14" s="1"/>
  <c r="Z23" i="14"/>
  <c r="X27" i="25"/>
  <c r="Y27" i="25"/>
  <c r="AE23" i="14"/>
  <c r="Y23" i="14"/>
  <c r="X24" i="24"/>
  <c r="Y24" i="24"/>
  <c r="X23" i="14"/>
  <c r="C25" i="24"/>
  <c r="AE41" i="38"/>
  <c r="Z41" i="38"/>
  <c r="O41" i="38"/>
  <c r="AM20" i="36"/>
  <c r="H24" i="21"/>
  <c r="I24" i="21" s="1"/>
  <c r="G24" i="21"/>
  <c r="AK21" i="36"/>
  <c r="AL21" i="36" s="1"/>
  <c r="R23" i="14"/>
  <c r="T23" i="20"/>
  <c r="AH22" i="14"/>
  <c r="AY22" i="14" s="1"/>
  <c r="AK24" i="22"/>
  <c r="C25" i="21"/>
  <c r="D25" i="21" s="1"/>
  <c r="D39" i="38"/>
  <c r="R41" i="38"/>
  <c r="AT41" i="38"/>
  <c r="AR41" i="38"/>
  <c r="AS41" i="38" s="1"/>
  <c r="M40" i="38"/>
  <c r="P40" i="38" s="1"/>
  <c r="E40" i="38" s="1"/>
  <c r="X40" i="38"/>
  <c r="AA40" i="38" s="1"/>
  <c r="F40" i="38" s="1"/>
  <c r="R24" i="20"/>
  <c r="AI23" i="36"/>
  <c r="AI23" i="14" s="1"/>
  <c r="AI41" i="38"/>
  <c r="I41" i="38"/>
  <c r="C24" i="36"/>
  <c r="H41" i="38"/>
  <c r="AK40" i="38"/>
  <c r="AG41" i="38"/>
  <c r="S41" i="38"/>
  <c r="AF41" i="38"/>
  <c r="T41" i="38"/>
  <c r="J41" i="38"/>
  <c r="U41" i="38"/>
  <c r="AJ41" i="38"/>
  <c r="AC41" i="38"/>
  <c r="V41" i="38"/>
  <c r="AD41" i="38"/>
  <c r="W41" i="38"/>
  <c r="AH41" i="38"/>
  <c r="C42" i="38"/>
  <c r="C36" i="35"/>
  <c r="AF36" i="35" s="1"/>
  <c r="X24" i="23"/>
  <c r="Y24" i="23"/>
  <c r="AK23" i="23"/>
  <c r="C25" i="20"/>
  <c r="D25" i="20" s="1"/>
  <c r="R24" i="21"/>
  <c r="T24" i="21" s="1"/>
  <c r="C28" i="25"/>
  <c r="C25" i="23"/>
  <c r="AJ22" i="14" l="1"/>
  <c r="AT23" i="36"/>
  <c r="AU23" i="36" s="1"/>
  <c r="AJ23" i="36" s="1"/>
  <c r="AJ23" i="14" s="1"/>
  <c r="AS24" i="36"/>
  <c r="AQ24" i="36"/>
  <c r="AR24" i="36"/>
  <c r="B26" i="35"/>
  <c r="B32" i="38"/>
  <c r="L32" i="35"/>
  <c r="L32" i="14" s="1"/>
  <c r="A39" i="38"/>
  <c r="AP32" i="36" s="1"/>
  <c r="Y25" i="22"/>
  <c r="AE25" i="22"/>
  <c r="AK25" i="22" s="1"/>
  <c r="AA25" i="22"/>
  <c r="Z25" i="22"/>
  <c r="C26" i="22"/>
  <c r="C27" i="22" s="1"/>
  <c r="AV24" i="20"/>
  <c r="AU25" i="21"/>
  <c r="AA24" i="14"/>
  <c r="Z25" i="24"/>
  <c r="AA25" i="24"/>
  <c r="Z25" i="23"/>
  <c r="AA25" i="23"/>
  <c r="Z28" i="25"/>
  <c r="AA28" i="25"/>
  <c r="AE25" i="23"/>
  <c r="AE28" i="25"/>
  <c r="AK28" i="25" s="1"/>
  <c r="M28" i="25"/>
  <c r="W28" i="25"/>
  <c r="Q28" i="25"/>
  <c r="O28" i="25"/>
  <c r="P28" i="25"/>
  <c r="N28" i="25"/>
  <c r="AE25" i="24"/>
  <c r="AK25" i="24" s="1"/>
  <c r="G24" i="14"/>
  <c r="G25" i="20"/>
  <c r="AK35" i="35"/>
  <c r="AF36" i="14"/>
  <c r="N42" i="38"/>
  <c r="Y42" i="38"/>
  <c r="AH24" i="36"/>
  <c r="AG24" i="36"/>
  <c r="AG24" i="14" s="1"/>
  <c r="X28" i="25"/>
  <c r="Y28" i="25"/>
  <c r="AC27" i="25"/>
  <c r="T27" i="25"/>
  <c r="Y24" i="14"/>
  <c r="AE24" i="14"/>
  <c r="X24" i="14"/>
  <c r="Y25" i="24"/>
  <c r="X25" i="24"/>
  <c r="F25" i="21"/>
  <c r="F25" i="14" s="1"/>
  <c r="Z24" i="14"/>
  <c r="C26" i="24"/>
  <c r="O42" i="38"/>
  <c r="Z42" i="38"/>
  <c r="AM21" i="36"/>
  <c r="H25" i="21"/>
  <c r="I25" i="21" s="1"/>
  <c r="G25" i="21"/>
  <c r="AK21" i="14"/>
  <c r="T24" i="20"/>
  <c r="R24" i="14"/>
  <c r="AH23" i="14"/>
  <c r="AY23" i="14" s="1"/>
  <c r="AL22" i="36"/>
  <c r="AK22" i="14"/>
  <c r="C26" i="21"/>
  <c r="R25" i="20"/>
  <c r="T42" i="38"/>
  <c r="AT42" i="38"/>
  <c r="AR42" i="38"/>
  <c r="AS42" i="38" s="1"/>
  <c r="X41" i="38"/>
  <c r="AA41" i="38" s="1"/>
  <c r="F41" i="38" s="1"/>
  <c r="M41" i="38"/>
  <c r="P41" i="38" s="1"/>
  <c r="E41" i="38" s="1"/>
  <c r="AI24" i="36"/>
  <c r="AI24" i="14" s="1"/>
  <c r="D40" i="38"/>
  <c r="C25" i="36"/>
  <c r="I42" i="38"/>
  <c r="J42" i="38"/>
  <c r="AE42" i="38"/>
  <c r="AJ42" i="38"/>
  <c r="H42" i="38"/>
  <c r="AG42" i="38"/>
  <c r="W42" i="38"/>
  <c r="AK41" i="38"/>
  <c r="AI42" i="38"/>
  <c r="AC42" i="38"/>
  <c r="U42" i="38"/>
  <c r="AD42" i="38"/>
  <c r="V42" i="38"/>
  <c r="AH42" i="38"/>
  <c r="S42" i="38"/>
  <c r="R42" i="38"/>
  <c r="AF42" i="38"/>
  <c r="C43" i="38"/>
  <c r="C37" i="35"/>
  <c r="AF37" i="35" s="1"/>
  <c r="Y25" i="23"/>
  <c r="X25" i="23"/>
  <c r="AK24" i="23"/>
  <c r="R25" i="21"/>
  <c r="T25" i="21" s="1"/>
  <c r="C26" i="20"/>
  <c r="C29" i="25"/>
  <c r="C26" i="23"/>
  <c r="Z26" i="22" l="1"/>
  <c r="AQ25" i="36"/>
  <c r="AS25" i="36"/>
  <c r="AR25" i="36"/>
  <c r="B27" i="35"/>
  <c r="B33" i="38"/>
  <c r="AT24" i="36"/>
  <c r="AU24" i="36" s="1"/>
  <c r="AJ24" i="36" s="1"/>
  <c r="L33" i="35"/>
  <c r="A40" i="38"/>
  <c r="AP33" i="36" s="1"/>
  <c r="DA76" i="26"/>
  <c r="DK76" i="26"/>
  <c r="DA74" i="26"/>
  <c r="DK74" i="26"/>
  <c r="AA26" i="22"/>
  <c r="DA75" i="26"/>
  <c r="DK75" i="26"/>
  <c r="AE26" i="22"/>
  <c r="AK26" i="22" s="1"/>
  <c r="X26" i="22"/>
  <c r="Y26" i="22"/>
  <c r="C27" i="21"/>
  <c r="D27" i="21" s="1"/>
  <c r="D26" i="21"/>
  <c r="AV25" i="20"/>
  <c r="D26" i="20"/>
  <c r="AA25" i="14"/>
  <c r="AA26" i="24"/>
  <c r="Z26" i="24"/>
  <c r="Z26" i="23"/>
  <c r="AA26" i="23"/>
  <c r="Z27" i="22"/>
  <c r="AA27" i="22"/>
  <c r="Z29" i="25"/>
  <c r="AA29" i="25"/>
  <c r="AE26" i="23"/>
  <c r="AE26" i="24"/>
  <c r="AK26" i="24" s="1"/>
  <c r="AE29" i="25"/>
  <c r="AK29" i="25" s="1"/>
  <c r="O29" i="25"/>
  <c r="N29" i="25"/>
  <c r="Q29" i="25"/>
  <c r="W29" i="25"/>
  <c r="P29" i="25"/>
  <c r="M29" i="25"/>
  <c r="AE27" i="22"/>
  <c r="G25" i="14"/>
  <c r="AK36" i="35"/>
  <c r="AF37" i="14"/>
  <c r="Y43" i="38"/>
  <c r="N43" i="38"/>
  <c r="AH25" i="36"/>
  <c r="AG25" i="36"/>
  <c r="AG25" i="14" s="1"/>
  <c r="G26" i="20"/>
  <c r="T28" i="25"/>
  <c r="AE25" i="14"/>
  <c r="X29" i="25"/>
  <c r="Y29" i="25"/>
  <c r="AC28" i="25"/>
  <c r="Z25" i="14"/>
  <c r="X25" i="14"/>
  <c r="Y25" i="14"/>
  <c r="Y26" i="24"/>
  <c r="X26" i="24"/>
  <c r="F26" i="21"/>
  <c r="F26" i="14" s="1"/>
  <c r="C27" i="24"/>
  <c r="AM22" i="36"/>
  <c r="Z43" i="38"/>
  <c r="O43" i="38"/>
  <c r="H26" i="21"/>
  <c r="I26" i="21" s="1"/>
  <c r="G26" i="21"/>
  <c r="R25" i="14"/>
  <c r="AK23" i="36"/>
  <c r="AL23" i="36" s="1"/>
  <c r="AH24" i="14"/>
  <c r="AY24" i="14" s="1"/>
  <c r="AJ24" i="14"/>
  <c r="L33" i="14"/>
  <c r="R26" i="20"/>
  <c r="R43" i="38"/>
  <c r="AT43" i="38"/>
  <c r="AR43" i="38"/>
  <c r="AS43" i="38" s="1"/>
  <c r="M42" i="38"/>
  <c r="P42" i="38" s="1"/>
  <c r="E42" i="38" s="1"/>
  <c r="X42" i="38"/>
  <c r="AA42" i="38" s="1"/>
  <c r="F42" i="38" s="1"/>
  <c r="AI25" i="36"/>
  <c r="AI25" i="14" s="1"/>
  <c r="C26" i="36"/>
  <c r="J43" i="38"/>
  <c r="AF43" i="38"/>
  <c r="AC43" i="38"/>
  <c r="D41" i="38"/>
  <c r="H43" i="38"/>
  <c r="AK42" i="38"/>
  <c r="AG43" i="38"/>
  <c r="I43" i="38"/>
  <c r="T43" i="38"/>
  <c r="AI43" i="38"/>
  <c r="U43" i="38"/>
  <c r="AD43" i="38"/>
  <c r="V43" i="38"/>
  <c r="AJ43" i="38"/>
  <c r="S43" i="38"/>
  <c r="W43" i="38"/>
  <c r="AH43" i="38"/>
  <c r="AE43" i="38"/>
  <c r="C44" i="38"/>
  <c r="C38" i="35"/>
  <c r="AF38" i="35" s="1"/>
  <c r="Y26" i="23"/>
  <c r="X26" i="23"/>
  <c r="X27" i="22"/>
  <c r="Y27" i="22"/>
  <c r="R26" i="21"/>
  <c r="T26" i="21" s="1"/>
  <c r="AK25" i="23"/>
  <c r="C27" i="20"/>
  <c r="T25" i="20"/>
  <c r="C30" i="25"/>
  <c r="C28" i="22"/>
  <c r="C27" i="23"/>
  <c r="B28" i="35" l="1"/>
  <c r="B34" i="38"/>
  <c r="AQ26" i="36"/>
  <c r="AS26" i="36"/>
  <c r="AR26" i="36"/>
  <c r="AT25" i="36"/>
  <c r="AU25" i="36" s="1"/>
  <c r="AJ25" i="36" s="1"/>
  <c r="AJ25" i="14" s="1"/>
  <c r="L34" i="35"/>
  <c r="L34" i="14" s="1"/>
  <c r="A41" i="38"/>
  <c r="AP34" i="36" s="1"/>
  <c r="O1" i="25"/>
  <c r="M1" i="25"/>
  <c r="W1" i="25"/>
  <c r="P1" i="25"/>
  <c r="N1" i="25"/>
  <c r="Q1" i="25"/>
  <c r="G27" i="21"/>
  <c r="C28" i="21"/>
  <c r="D28" i="21" s="1"/>
  <c r="AU28" i="21" s="1"/>
  <c r="H27" i="21"/>
  <c r="I27" i="21" s="1"/>
  <c r="AV26" i="20"/>
  <c r="D27" i="20"/>
  <c r="AU26" i="21"/>
  <c r="AU27" i="21"/>
  <c r="AE26" i="14"/>
  <c r="DA87" i="26" s="1"/>
  <c r="DK87" i="26" s="1"/>
  <c r="AA26" i="14"/>
  <c r="AA27" i="24"/>
  <c r="Z27" i="24"/>
  <c r="Z27" i="23"/>
  <c r="AA27" i="23"/>
  <c r="Z30" i="25"/>
  <c r="AA30" i="25"/>
  <c r="Z28" i="22"/>
  <c r="AA28" i="22"/>
  <c r="Q30" i="25"/>
  <c r="P30" i="25"/>
  <c r="N30" i="25"/>
  <c r="M30" i="25"/>
  <c r="W30" i="25"/>
  <c r="O30" i="25"/>
  <c r="AE27" i="23"/>
  <c r="AE27" i="24"/>
  <c r="AK27" i="24" s="1"/>
  <c r="AE28" i="22"/>
  <c r="G26" i="14"/>
  <c r="AE30" i="25"/>
  <c r="AK30" i="25" s="1"/>
  <c r="AK37" i="35"/>
  <c r="G27" i="20"/>
  <c r="AF38" i="14"/>
  <c r="Y44" i="38"/>
  <c r="N44" i="38"/>
  <c r="AH26" i="36"/>
  <c r="AG26" i="36"/>
  <c r="AG26" i="14" s="1"/>
  <c r="Y30" i="25"/>
  <c r="X30" i="25"/>
  <c r="T29" i="25"/>
  <c r="AC29" i="25"/>
  <c r="Z26" i="14"/>
  <c r="F27" i="21"/>
  <c r="F27" i="14" s="1"/>
  <c r="X26" i="14"/>
  <c r="Y26" i="14"/>
  <c r="X27" i="24"/>
  <c r="Y27" i="24"/>
  <c r="C28" i="24"/>
  <c r="AM23" i="36"/>
  <c r="Z44" i="38"/>
  <c r="O44" i="38"/>
  <c r="AK24" i="36"/>
  <c r="AL24" i="36" s="1"/>
  <c r="R26" i="14"/>
  <c r="DA83" i="26" s="1"/>
  <c r="DK83" i="26" s="1"/>
  <c r="AK23" i="14"/>
  <c r="AH25" i="14"/>
  <c r="AY25" i="14" s="1"/>
  <c r="AK27" i="22"/>
  <c r="R27" i="20"/>
  <c r="W44" i="38"/>
  <c r="AT44" i="38"/>
  <c r="AR44" i="38"/>
  <c r="AS44" i="38" s="1"/>
  <c r="M43" i="38"/>
  <c r="P43" i="38" s="1"/>
  <c r="E43" i="38" s="1"/>
  <c r="X43" i="38"/>
  <c r="AA43" i="38" s="1"/>
  <c r="F43" i="38" s="1"/>
  <c r="AI26" i="36"/>
  <c r="AI26" i="14" s="1"/>
  <c r="D42" i="38"/>
  <c r="C27" i="36"/>
  <c r="S44" i="38"/>
  <c r="AK43" i="38"/>
  <c r="AI44" i="38"/>
  <c r="AH44" i="38"/>
  <c r="AE44" i="38"/>
  <c r="AD44" i="38"/>
  <c r="AG44" i="38"/>
  <c r="AJ44" i="38"/>
  <c r="AC44" i="38"/>
  <c r="AF44" i="38"/>
  <c r="V44" i="38"/>
  <c r="T44" i="38"/>
  <c r="I44" i="38"/>
  <c r="R44" i="38"/>
  <c r="J44" i="38"/>
  <c r="U44" i="38"/>
  <c r="H44" i="38"/>
  <c r="C45" i="38"/>
  <c r="C39" i="35"/>
  <c r="AF39" i="35" s="1"/>
  <c r="Y28" i="22"/>
  <c r="X28" i="22"/>
  <c r="Y27" i="23"/>
  <c r="X27" i="23"/>
  <c r="AK26" i="23"/>
  <c r="C28" i="20"/>
  <c r="D28" i="20" s="1"/>
  <c r="T26" i="20"/>
  <c r="R27" i="21"/>
  <c r="T27" i="21" s="1"/>
  <c r="C31" i="25"/>
  <c r="C29" i="22"/>
  <c r="C28" i="23"/>
  <c r="AT26" i="36" l="1"/>
  <c r="AU26" i="36" s="1"/>
  <c r="AJ26" i="36" s="1"/>
  <c r="AJ26" i="14" s="1"/>
  <c r="DA93" i="26" s="1"/>
  <c r="DK93" i="26" s="1"/>
  <c r="AS27" i="36"/>
  <c r="AQ27" i="36"/>
  <c r="AR27" i="36"/>
  <c r="B29" i="35"/>
  <c r="B35" i="38"/>
  <c r="L35" i="35"/>
  <c r="L35" i="14" s="1"/>
  <c r="A42" i="38"/>
  <c r="AP35" i="36" s="1"/>
  <c r="DA88" i="26"/>
  <c r="DK88" i="26" s="1"/>
  <c r="G28" i="21"/>
  <c r="H28" i="21"/>
  <c r="I28" i="21" s="1"/>
  <c r="C29" i="21"/>
  <c r="D29" i="21" s="1"/>
  <c r="AU29" i="21" s="1"/>
  <c r="G27" i="14"/>
  <c r="AV27" i="20"/>
  <c r="AA27" i="14"/>
  <c r="Z28" i="23"/>
  <c r="AA28" i="23"/>
  <c r="Z29" i="22"/>
  <c r="AA29" i="22"/>
  <c r="Z31" i="25"/>
  <c r="AA31" i="25"/>
  <c r="Z28" i="24"/>
  <c r="AA28" i="24"/>
  <c r="AE28" i="24"/>
  <c r="AK28" i="24" s="1"/>
  <c r="AE28" i="23"/>
  <c r="AE29" i="22"/>
  <c r="AE31" i="25"/>
  <c r="AK31" i="25" s="1"/>
  <c r="W31" i="25"/>
  <c r="P31" i="25"/>
  <c r="O31" i="25"/>
  <c r="M31" i="25"/>
  <c r="Q31" i="25"/>
  <c r="N31" i="25"/>
  <c r="G28" i="20"/>
  <c r="G28" i="14" s="1"/>
  <c r="AK38" i="35"/>
  <c r="AF39" i="14"/>
  <c r="N45" i="38"/>
  <c r="Y45" i="38"/>
  <c r="D43" i="38"/>
  <c r="AH27" i="36"/>
  <c r="AG27" i="36"/>
  <c r="AG27" i="14" s="1"/>
  <c r="T30" i="25"/>
  <c r="AC30" i="25"/>
  <c r="Y31" i="25"/>
  <c r="X31" i="25"/>
  <c r="X27" i="14"/>
  <c r="Z27" i="14"/>
  <c r="Y27" i="14"/>
  <c r="X28" i="24"/>
  <c r="Y28" i="24"/>
  <c r="F28" i="21"/>
  <c r="F28" i="14" s="1"/>
  <c r="AE27" i="14"/>
  <c r="C29" i="24"/>
  <c r="AM24" i="36"/>
  <c r="Z45" i="38"/>
  <c r="O45" i="38"/>
  <c r="AK24" i="14"/>
  <c r="T27" i="20"/>
  <c r="R27" i="14"/>
  <c r="AK25" i="36"/>
  <c r="AL25" i="36" s="1"/>
  <c r="AH26" i="14"/>
  <c r="AY26" i="14" s="1"/>
  <c r="AK28" i="22"/>
  <c r="R28" i="20"/>
  <c r="R45" i="38"/>
  <c r="AT45" i="38"/>
  <c r="AR45" i="38"/>
  <c r="AS45" i="38" s="1"/>
  <c r="X44" i="38"/>
  <c r="AA44" i="38" s="1"/>
  <c r="F44" i="38" s="1"/>
  <c r="M44" i="38"/>
  <c r="P44" i="38" s="1"/>
  <c r="E44" i="38" s="1"/>
  <c r="AI27" i="36"/>
  <c r="AI27" i="14" s="1"/>
  <c r="C28" i="36"/>
  <c r="AI45" i="38"/>
  <c r="AD45" i="38"/>
  <c r="S45" i="38"/>
  <c r="J45" i="38"/>
  <c r="U45" i="38"/>
  <c r="AG45" i="38"/>
  <c r="AH45" i="38"/>
  <c r="AF45" i="38"/>
  <c r="T45" i="38"/>
  <c r="H45" i="38"/>
  <c r="AJ45" i="38"/>
  <c r="V45" i="38"/>
  <c r="AK44" i="38"/>
  <c r="AC45" i="38"/>
  <c r="AE45" i="38"/>
  <c r="W45" i="38"/>
  <c r="I45" i="38"/>
  <c r="C46" i="38"/>
  <c r="C40" i="35"/>
  <c r="AF40" i="35" s="1"/>
  <c r="X29" i="22"/>
  <c r="Y29" i="22"/>
  <c r="Y28" i="23"/>
  <c r="X28" i="23"/>
  <c r="AK27" i="23"/>
  <c r="C29" i="20"/>
  <c r="R28" i="21"/>
  <c r="T28" i="21" s="1"/>
  <c r="C32" i="25"/>
  <c r="C29" i="23"/>
  <c r="C30" i="22"/>
  <c r="AT27" i="36" l="1"/>
  <c r="AU27" i="36" s="1"/>
  <c r="AJ27" i="36" s="1"/>
  <c r="AJ27" i="14" s="1"/>
  <c r="B36" i="38"/>
  <c r="B30" i="35"/>
  <c r="AS28" i="36"/>
  <c r="AQ28" i="36"/>
  <c r="AR28" i="36"/>
  <c r="L36" i="35"/>
  <c r="L36" i="14" s="1"/>
  <c r="A43" i="38"/>
  <c r="AP36" i="36" s="1"/>
  <c r="C30" i="21"/>
  <c r="D30" i="21" s="1"/>
  <c r="AU30" i="21" s="1"/>
  <c r="G29" i="21"/>
  <c r="H29" i="21"/>
  <c r="I29" i="21" s="1"/>
  <c r="Q1" i="22"/>
  <c r="Q29" i="22" s="1"/>
  <c r="N1" i="22"/>
  <c r="N29" i="22" s="1"/>
  <c r="M1" i="22"/>
  <c r="M29" i="22" s="1"/>
  <c r="P1" i="22"/>
  <c r="P29" i="22" s="1"/>
  <c r="O1" i="22"/>
  <c r="O29" i="22" s="1"/>
  <c r="AV28" i="20"/>
  <c r="D29" i="20"/>
  <c r="AA28" i="14"/>
  <c r="Z29" i="23"/>
  <c r="AA29" i="23"/>
  <c r="Z29" i="24"/>
  <c r="AA29" i="24"/>
  <c r="Z30" i="22"/>
  <c r="AA30" i="22"/>
  <c r="Z32" i="25"/>
  <c r="AA32" i="25"/>
  <c r="Q30" i="22"/>
  <c r="N30" i="22"/>
  <c r="AE29" i="23"/>
  <c r="AE32" i="25"/>
  <c r="AK32" i="25" s="1"/>
  <c r="M32" i="25"/>
  <c r="W32" i="25"/>
  <c r="Q32" i="25"/>
  <c r="O32" i="25"/>
  <c r="N32" i="25"/>
  <c r="P32" i="25"/>
  <c r="AE29" i="24"/>
  <c r="AK29" i="24" s="1"/>
  <c r="AE30" i="22"/>
  <c r="W1" i="22"/>
  <c r="W30" i="22" s="1"/>
  <c r="AK39" i="35"/>
  <c r="G29" i="20"/>
  <c r="AF40" i="14"/>
  <c r="Y46" i="38"/>
  <c r="N46" i="38"/>
  <c r="AH28" i="36"/>
  <c r="AG28" i="36"/>
  <c r="AG28" i="14" s="1"/>
  <c r="F29" i="21"/>
  <c r="F29" i="14" s="1"/>
  <c r="T31" i="25"/>
  <c r="AC31" i="25"/>
  <c r="Y32" i="25"/>
  <c r="X32" i="25"/>
  <c r="X28" i="14"/>
  <c r="Y28" i="14"/>
  <c r="Z28" i="14"/>
  <c r="AE28" i="14"/>
  <c r="Y29" i="24"/>
  <c r="X29" i="24"/>
  <c r="AM25" i="36"/>
  <c r="C30" i="24"/>
  <c r="O46" i="38"/>
  <c r="Z46" i="38"/>
  <c r="AK25" i="14"/>
  <c r="T28" i="20"/>
  <c r="R28" i="14"/>
  <c r="AK26" i="36"/>
  <c r="AL26" i="36" s="1"/>
  <c r="AH27" i="14"/>
  <c r="AY27" i="14" s="1"/>
  <c r="AK29" i="22"/>
  <c r="R29" i="20"/>
  <c r="V46" i="38"/>
  <c r="AT46" i="38"/>
  <c r="AR46" i="38"/>
  <c r="AS46" i="38" s="1"/>
  <c r="X45" i="38"/>
  <c r="AA45" i="38" s="1"/>
  <c r="F45" i="38" s="1"/>
  <c r="M45" i="38"/>
  <c r="P45" i="38" s="1"/>
  <c r="E45" i="38" s="1"/>
  <c r="AI28" i="36"/>
  <c r="AI28" i="14" s="1"/>
  <c r="D44" i="38"/>
  <c r="AJ46" i="38"/>
  <c r="AD46" i="38"/>
  <c r="AH46" i="38"/>
  <c r="C29" i="36"/>
  <c r="AK45" i="38"/>
  <c r="J46" i="38"/>
  <c r="H46" i="38"/>
  <c r="U46" i="38"/>
  <c r="AG46" i="38"/>
  <c r="AE46" i="38"/>
  <c r="R46" i="38"/>
  <c r="I46" i="38"/>
  <c r="S46" i="38"/>
  <c r="AC46" i="38"/>
  <c r="T46" i="38"/>
  <c r="AF46" i="38"/>
  <c r="W46" i="38"/>
  <c r="AI46" i="38"/>
  <c r="C47" i="38"/>
  <c r="C41" i="35"/>
  <c r="AF41" i="35" s="1"/>
  <c r="Y29" i="23"/>
  <c r="X29" i="23"/>
  <c r="X30" i="22"/>
  <c r="Y30" i="22"/>
  <c r="AK28" i="23"/>
  <c r="C30" i="20"/>
  <c r="D30" i="20" s="1"/>
  <c r="R29" i="21"/>
  <c r="T29" i="21" s="1"/>
  <c r="C33" i="25"/>
  <c r="C31" i="22"/>
  <c r="C30" i="23"/>
  <c r="AK27" i="36" l="1"/>
  <c r="AL27" i="36" s="1"/>
  <c r="P30" i="22"/>
  <c r="O30" i="22"/>
  <c r="M30" i="22"/>
  <c r="P28" i="22"/>
  <c r="AS29" i="36"/>
  <c r="AQ29" i="36"/>
  <c r="AR29" i="36"/>
  <c r="AT28" i="36"/>
  <c r="AU28" i="36" s="1"/>
  <c r="AJ28" i="36" s="1"/>
  <c r="AJ28" i="14" s="1"/>
  <c r="B37" i="38"/>
  <c r="B31" i="35"/>
  <c r="L37" i="35"/>
  <c r="L37" i="14" s="1"/>
  <c r="A44" i="38"/>
  <c r="AP37" i="36" s="1"/>
  <c r="G30" i="21"/>
  <c r="M28" i="22"/>
  <c r="H30" i="21"/>
  <c r="I30" i="21" s="1"/>
  <c r="C31" i="21"/>
  <c r="D31" i="21" s="1"/>
  <c r="AU31" i="21" s="1"/>
  <c r="DB75" i="26"/>
  <c r="DL75" i="26"/>
  <c r="G29" i="14"/>
  <c r="N28" i="22"/>
  <c r="Q28" i="22"/>
  <c r="O28" i="22"/>
  <c r="N1" i="24"/>
  <c r="M1" i="24"/>
  <c r="Q1" i="24"/>
  <c r="P1" i="24"/>
  <c r="O1" i="24"/>
  <c r="W1" i="24"/>
  <c r="M1" i="23"/>
  <c r="M8" i="23" s="1"/>
  <c r="W1" i="23"/>
  <c r="W18" i="23" s="1"/>
  <c r="P1" i="23"/>
  <c r="P8" i="23" s="1"/>
  <c r="O1" i="23"/>
  <c r="O8" i="23" s="1"/>
  <c r="Q1" i="23"/>
  <c r="Q8" i="23" s="1"/>
  <c r="N1" i="23"/>
  <c r="N8" i="23" s="1"/>
  <c r="W28" i="22"/>
  <c r="W29" i="22"/>
  <c r="AV29" i="20"/>
  <c r="AA29" i="14"/>
  <c r="Z30" i="23"/>
  <c r="AA30" i="23"/>
  <c r="Z31" i="22"/>
  <c r="AA31" i="22"/>
  <c r="Z33" i="25"/>
  <c r="AA33" i="25"/>
  <c r="Z30" i="24"/>
  <c r="AA30" i="24"/>
  <c r="O6" i="22"/>
  <c r="O7" i="22"/>
  <c r="O8" i="22"/>
  <c r="O9" i="22"/>
  <c r="O10" i="22"/>
  <c r="O11" i="22"/>
  <c r="O12" i="22"/>
  <c r="O13" i="22"/>
  <c r="O14" i="22"/>
  <c r="O15" i="22"/>
  <c r="O16" i="22"/>
  <c r="O17" i="22"/>
  <c r="O18" i="22"/>
  <c r="O19" i="22"/>
  <c r="O21" i="22"/>
  <c r="O20" i="22"/>
  <c r="O22" i="22"/>
  <c r="O23" i="22"/>
  <c r="O24" i="22"/>
  <c r="O25" i="22"/>
  <c r="O26" i="22"/>
  <c r="O27" i="22"/>
  <c r="AE33" i="25"/>
  <c r="AK33" i="25" s="1"/>
  <c r="O33" i="25"/>
  <c r="N33" i="25"/>
  <c r="Q33" i="25"/>
  <c r="P33" i="25"/>
  <c r="M33" i="25"/>
  <c r="W33" i="25"/>
  <c r="Q6" i="22"/>
  <c r="Q7" i="22"/>
  <c r="Q8" i="22"/>
  <c r="Q9" i="22"/>
  <c r="Q10" i="22"/>
  <c r="Q11" i="22"/>
  <c r="Q12" i="22"/>
  <c r="Q13" i="22"/>
  <c r="Q14" i="22"/>
  <c r="Q15" i="22"/>
  <c r="Q16" i="22"/>
  <c r="Q17" i="22"/>
  <c r="Q18" i="22"/>
  <c r="Q19" i="22"/>
  <c r="Q21" i="22"/>
  <c r="Q20" i="22"/>
  <c r="Q22" i="22"/>
  <c r="Q23" i="22"/>
  <c r="Q24" i="22"/>
  <c r="Q25" i="22"/>
  <c r="Q26" i="22"/>
  <c r="Q27" i="22"/>
  <c r="AE30" i="23"/>
  <c r="W15" i="22"/>
  <c r="W16" i="22"/>
  <c r="W17" i="22"/>
  <c r="W18" i="22"/>
  <c r="W19" i="22"/>
  <c r="W21" i="22"/>
  <c r="W20" i="22"/>
  <c r="W22" i="22"/>
  <c r="W23" i="22"/>
  <c r="W24" i="22"/>
  <c r="W25" i="22"/>
  <c r="W26" i="22"/>
  <c r="W27" i="22"/>
  <c r="P6" i="22"/>
  <c r="P7" i="22"/>
  <c r="P8" i="22"/>
  <c r="P9" i="22"/>
  <c r="P10" i="22"/>
  <c r="P11" i="22"/>
  <c r="P12" i="22"/>
  <c r="P13" i="22"/>
  <c r="P14" i="22"/>
  <c r="P15" i="22"/>
  <c r="P16" i="22"/>
  <c r="P17" i="22"/>
  <c r="P18" i="22"/>
  <c r="P19" i="22"/>
  <c r="P20" i="22"/>
  <c r="P21" i="22"/>
  <c r="P22" i="22"/>
  <c r="P23" i="22"/>
  <c r="P24" i="22"/>
  <c r="P25" i="22"/>
  <c r="P26" i="22"/>
  <c r="P27" i="22"/>
  <c r="AE31" i="22"/>
  <c r="P31" i="22"/>
  <c r="N31" i="22"/>
  <c r="M31" i="22"/>
  <c r="Q31" i="22"/>
  <c r="O31" i="22"/>
  <c r="W31" i="22"/>
  <c r="M6" i="22"/>
  <c r="M7" i="22"/>
  <c r="M8" i="22"/>
  <c r="M9" i="22"/>
  <c r="M10" i="22"/>
  <c r="M11" i="22"/>
  <c r="M12" i="22"/>
  <c r="M13" i="22"/>
  <c r="M14" i="22"/>
  <c r="M15" i="22"/>
  <c r="M16" i="22"/>
  <c r="M17" i="22"/>
  <c r="M18" i="22"/>
  <c r="M19" i="22"/>
  <c r="M20" i="22"/>
  <c r="M21" i="22"/>
  <c r="M22" i="22"/>
  <c r="M23" i="22"/>
  <c r="M24" i="22"/>
  <c r="M25" i="22"/>
  <c r="M26" i="22"/>
  <c r="M27" i="22"/>
  <c r="N6" i="22"/>
  <c r="N7" i="22"/>
  <c r="N8" i="22"/>
  <c r="N9" i="22"/>
  <c r="N10" i="22"/>
  <c r="N11" i="22"/>
  <c r="N12" i="22"/>
  <c r="N13" i="22"/>
  <c r="N14" i="22"/>
  <c r="N15" i="22"/>
  <c r="N16" i="22"/>
  <c r="N17" i="22"/>
  <c r="N18" i="22"/>
  <c r="N19" i="22"/>
  <c r="N20" i="22"/>
  <c r="N21" i="22"/>
  <c r="N22" i="22"/>
  <c r="N23" i="22"/>
  <c r="N24" i="22"/>
  <c r="N25" i="22"/>
  <c r="N26" i="22"/>
  <c r="N27" i="22"/>
  <c r="Y29" i="14"/>
  <c r="Z29" i="14"/>
  <c r="AE30" i="24"/>
  <c r="AK30" i="24" s="1"/>
  <c r="M30" i="24"/>
  <c r="P30" i="24"/>
  <c r="AK40" i="35"/>
  <c r="G30" i="20"/>
  <c r="AF41" i="14"/>
  <c r="Y47" i="38"/>
  <c r="N47" i="38"/>
  <c r="AH29" i="36"/>
  <c r="AG29" i="36"/>
  <c r="AG29" i="14" s="1"/>
  <c r="T32" i="25"/>
  <c r="AC32" i="25"/>
  <c r="Y33" i="25"/>
  <c r="X33" i="25"/>
  <c r="AE29" i="14"/>
  <c r="X29" i="14"/>
  <c r="X30" i="24"/>
  <c r="Y30" i="24"/>
  <c r="AM26" i="36"/>
  <c r="C31" i="24"/>
  <c r="V47" i="38"/>
  <c r="O47" i="38"/>
  <c r="Z47" i="38"/>
  <c r="F30" i="21"/>
  <c r="F30" i="14" s="1"/>
  <c r="AK26" i="14"/>
  <c r="T29" i="20"/>
  <c r="R29" i="14"/>
  <c r="AH28" i="14"/>
  <c r="AY28" i="14" s="1"/>
  <c r="AK30" i="22"/>
  <c r="R30" i="20"/>
  <c r="R47" i="38"/>
  <c r="AT47" i="38"/>
  <c r="AR47" i="38"/>
  <c r="AS47" i="38" s="1"/>
  <c r="X46" i="38"/>
  <c r="AA46" i="38" s="1"/>
  <c r="F46" i="38" s="1"/>
  <c r="M46" i="38"/>
  <c r="P46" i="38" s="1"/>
  <c r="E46" i="38" s="1"/>
  <c r="AI29" i="36"/>
  <c r="AI29" i="14" s="1"/>
  <c r="I47" i="38"/>
  <c r="AC47" i="38"/>
  <c r="J47" i="38"/>
  <c r="T47" i="38"/>
  <c r="AK46" i="38"/>
  <c r="AD47" i="38"/>
  <c r="AJ47" i="38"/>
  <c r="AI47" i="38"/>
  <c r="AH47" i="38"/>
  <c r="W47" i="38"/>
  <c r="U47" i="38"/>
  <c r="C30" i="36"/>
  <c r="D45" i="38"/>
  <c r="AF47" i="38"/>
  <c r="S47" i="38"/>
  <c r="AG47" i="38"/>
  <c r="AE47" i="38"/>
  <c r="H47" i="38"/>
  <c r="C48" i="38"/>
  <c r="C42" i="35"/>
  <c r="AF42" i="35" s="1"/>
  <c r="X31" i="22"/>
  <c r="Y31" i="22"/>
  <c r="Y30" i="23"/>
  <c r="X30" i="23"/>
  <c r="R30" i="21"/>
  <c r="T30" i="21" s="1"/>
  <c r="AK29" i="23"/>
  <c r="C31" i="20"/>
  <c r="D31" i="20" s="1"/>
  <c r="C34" i="25"/>
  <c r="C31" i="23"/>
  <c r="C32" i="22"/>
  <c r="AK27" i="14" l="1"/>
  <c r="C32" i="21"/>
  <c r="D32" i="21" s="1"/>
  <c r="AU32" i="21" s="1"/>
  <c r="T30" i="22"/>
  <c r="DL74" i="26"/>
  <c r="AT29" i="36"/>
  <c r="AU29" i="36" s="1"/>
  <c r="AJ29" i="36" s="1"/>
  <c r="G31" i="21"/>
  <c r="AS30" i="36"/>
  <c r="AQ30" i="36"/>
  <c r="AR30" i="36"/>
  <c r="B38" i="38"/>
  <c r="B32" i="35"/>
  <c r="N30" i="23"/>
  <c r="L38" i="35"/>
  <c r="L38" i="14" s="1"/>
  <c r="A45" i="38"/>
  <c r="AP38" i="36" s="1"/>
  <c r="Q30" i="23"/>
  <c r="G30" i="14"/>
  <c r="O30" i="23"/>
  <c r="P30" i="23"/>
  <c r="P30" i="14" s="1"/>
  <c r="H31" i="21"/>
  <c r="I31" i="21" s="1"/>
  <c r="DB74" i="26"/>
  <c r="T8" i="23"/>
  <c r="DB76" i="26"/>
  <c r="DL76" i="26"/>
  <c r="N29" i="23"/>
  <c r="N9" i="23"/>
  <c r="O29" i="23"/>
  <c r="O9" i="23"/>
  <c r="P29" i="23"/>
  <c r="P9" i="23"/>
  <c r="W29" i="23"/>
  <c r="W19" i="23"/>
  <c r="AC19" i="23" s="1"/>
  <c r="Q29" i="23"/>
  <c r="Q9" i="23"/>
  <c r="M29" i="23"/>
  <c r="M9" i="23"/>
  <c r="M30" i="23"/>
  <c r="W30" i="23"/>
  <c r="AC30" i="23" s="1"/>
  <c r="AV30" i="20"/>
  <c r="AA30" i="14"/>
  <c r="AA31" i="24"/>
  <c r="Z31" i="24"/>
  <c r="AA32" i="22"/>
  <c r="Z32" i="22"/>
  <c r="Z31" i="23"/>
  <c r="AA31" i="23"/>
  <c r="Z34" i="25"/>
  <c r="AA34" i="25"/>
  <c r="W25" i="24"/>
  <c r="AC25" i="24" s="1"/>
  <c r="W26" i="24"/>
  <c r="AC26" i="24" s="1"/>
  <c r="W27" i="24"/>
  <c r="AC27" i="24" s="1"/>
  <c r="W28" i="24"/>
  <c r="AC28" i="24" s="1"/>
  <c r="W29" i="24"/>
  <c r="AC29" i="24" s="1"/>
  <c r="P25" i="24"/>
  <c r="P26" i="24"/>
  <c r="P27" i="24"/>
  <c r="P28" i="24"/>
  <c r="P29" i="24"/>
  <c r="W30" i="24"/>
  <c r="Q25" i="24"/>
  <c r="Q26" i="24"/>
  <c r="Q27" i="24"/>
  <c r="Q28" i="24"/>
  <c r="Q29" i="24"/>
  <c r="N25" i="24"/>
  <c r="N26" i="24"/>
  <c r="N27" i="24"/>
  <c r="N28" i="24"/>
  <c r="N29" i="24"/>
  <c r="M25" i="24"/>
  <c r="M26" i="24"/>
  <c r="M27" i="24"/>
  <c r="M28" i="24"/>
  <c r="M29" i="24"/>
  <c r="Q30" i="24"/>
  <c r="N30" i="24"/>
  <c r="O25" i="24"/>
  <c r="O26" i="24"/>
  <c r="O27" i="24"/>
  <c r="O28" i="24"/>
  <c r="O29" i="24"/>
  <c r="O30" i="24"/>
  <c r="P6" i="24"/>
  <c r="P6" i="14" s="1"/>
  <c r="CW81" i="26" s="1"/>
  <c r="DG81" i="26" s="1"/>
  <c r="P7" i="24"/>
  <c r="P7" i="14" s="1"/>
  <c r="P8" i="24"/>
  <c r="P8" i="14" s="1"/>
  <c r="P9" i="24"/>
  <c r="P10" i="24"/>
  <c r="P11" i="24"/>
  <c r="P12" i="24"/>
  <c r="P13" i="24"/>
  <c r="P14" i="24"/>
  <c r="P15" i="24"/>
  <c r="P16" i="24"/>
  <c r="P17" i="24"/>
  <c r="P18" i="24"/>
  <c r="P19" i="24"/>
  <c r="P20" i="24"/>
  <c r="P21" i="24"/>
  <c r="P22" i="24"/>
  <c r="P23" i="24"/>
  <c r="P24" i="24"/>
  <c r="Q6" i="24"/>
  <c r="Q6" i="14" s="1"/>
  <c r="CW82" i="26" s="1"/>
  <c r="DG82" i="26" s="1"/>
  <c r="Q7" i="24"/>
  <c r="Q7" i="14" s="1"/>
  <c r="Q8" i="24"/>
  <c r="Q8" i="14" s="1"/>
  <c r="Q9" i="24"/>
  <c r="Q10" i="24"/>
  <c r="Q11" i="24"/>
  <c r="Q12" i="24"/>
  <c r="Q13" i="24"/>
  <c r="Q14" i="24"/>
  <c r="Q15" i="24"/>
  <c r="Q16" i="24"/>
  <c r="Q17" i="24"/>
  <c r="Q18" i="24"/>
  <c r="Q19" i="24"/>
  <c r="Q20" i="24"/>
  <c r="Q21" i="24"/>
  <c r="Q22" i="24"/>
  <c r="Q23" i="24"/>
  <c r="Q24" i="24"/>
  <c r="M6" i="24"/>
  <c r="M7" i="24"/>
  <c r="M7" i="14" s="1"/>
  <c r="M8" i="24"/>
  <c r="M8" i="14" s="1"/>
  <c r="M9" i="24"/>
  <c r="M10" i="24"/>
  <c r="M11" i="24"/>
  <c r="M12" i="24"/>
  <c r="M13" i="24"/>
  <c r="M14" i="24"/>
  <c r="M15" i="24"/>
  <c r="M16" i="24"/>
  <c r="M17" i="24"/>
  <c r="M18" i="24"/>
  <c r="M19" i="24"/>
  <c r="M20" i="24"/>
  <c r="M21" i="24"/>
  <c r="M22" i="24"/>
  <c r="M23" i="24"/>
  <c r="M24" i="24"/>
  <c r="O6" i="24"/>
  <c r="O6" i="14" s="1"/>
  <c r="CW80" i="26" s="1"/>
  <c r="DG80" i="26" s="1"/>
  <c r="O7" i="24"/>
  <c r="O7" i="14" s="1"/>
  <c r="O8" i="24"/>
  <c r="O8" i="14" s="1"/>
  <c r="O9" i="24"/>
  <c r="O10" i="24"/>
  <c r="O11" i="24"/>
  <c r="O12" i="24"/>
  <c r="O13" i="24"/>
  <c r="O14" i="24"/>
  <c r="O15" i="24"/>
  <c r="O16" i="24"/>
  <c r="O17" i="24"/>
  <c r="O18" i="24"/>
  <c r="O19" i="24"/>
  <c r="O20" i="24"/>
  <c r="O21" i="24"/>
  <c r="O22" i="24"/>
  <c r="O23" i="24"/>
  <c r="O24" i="24"/>
  <c r="N6" i="24"/>
  <c r="N6" i="14" s="1"/>
  <c r="CW79" i="26" s="1"/>
  <c r="DG79" i="26" s="1"/>
  <c r="N7" i="24"/>
  <c r="N7" i="14" s="1"/>
  <c r="N8" i="24"/>
  <c r="N8" i="14" s="1"/>
  <c r="N9" i="24"/>
  <c r="N10" i="24"/>
  <c r="N11" i="24"/>
  <c r="N12" i="24"/>
  <c r="N13" i="24"/>
  <c r="N14" i="24"/>
  <c r="N15" i="24"/>
  <c r="N16" i="24"/>
  <c r="N17" i="24"/>
  <c r="N18" i="24"/>
  <c r="N19" i="24"/>
  <c r="N20" i="24"/>
  <c r="N21" i="24"/>
  <c r="N22" i="24"/>
  <c r="N23" i="24"/>
  <c r="N24" i="24"/>
  <c r="W16" i="24"/>
  <c r="AC16" i="24" s="1"/>
  <c r="W17" i="24"/>
  <c r="AC17" i="24" s="1"/>
  <c r="W18" i="24"/>
  <c r="AC18" i="24" s="1"/>
  <c r="W19" i="24"/>
  <c r="AC19" i="24" s="1"/>
  <c r="W20" i="24"/>
  <c r="AC20" i="24" s="1"/>
  <c r="W21" i="24"/>
  <c r="AC21" i="24" s="1"/>
  <c r="W22" i="24"/>
  <c r="AC22" i="24" s="1"/>
  <c r="W23" i="24"/>
  <c r="AC23" i="24" s="1"/>
  <c r="W24" i="24"/>
  <c r="AC24" i="24" s="1"/>
  <c r="O10" i="23"/>
  <c r="O11" i="23"/>
  <c r="O12" i="23"/>
  <c r="O13" i="23"/>
  <c r="O14" i="23"/>
  <c r="O15" i="23"/>
  <c r="O16" i="23"/>
  <c r="O17" i="23"/>
  <c r="O18" i="23"/>
  <c r="O19" i="23"/>
  <c r="O20" i="23"/>
  <c r="O21" i="23"/>
  <c r="O22" i="23"/>
  <c r="O23" i="23"/>
  <c r="O24" i="23"/>
  <c r="O25" i="23"/>
  <c r="O26" i="23"/>
  <c r="O27" i="23"/>
  <c r="O28" i="23"/>
  <c r="P10" i="23"/>
  <c r="P11" i="23"/>
  <c r="P12" i="23"/>
  <c r="P13" i="23"/>
  <c r="P14" i="23"/>
  <c r="P15" i="23"/>
  <c r="P16" i="23"/>
  <c r="P17" i="23"/>
  <c r="P18" i="23"/>
  <c r="P19" i="23"/>
  <c r="P20" i="23"/>
  <c r="P21" i="23"/>
  <c r="P22" i="23"/>
  <c r="P23" i="23"/>
  <c r="P24" i="23"/>
  <c r="P25" i="23"/>
  <c r="P26" i="23"/>
  <c r="P27" i="23"/>
  <c r="P28" i="23"/>
  <c r="AE31" i="24"/>
  <c r="AK31" i="24" s="1"/>
  <c r="Q31" i="24"/>
  <c r="N31" i="24"/>
  <c r="M31" i="24"/>
  <c r="W31" i="24"/>
  <c r="O31" i="24"/>
  <c r="P31" i="24"/>
  <c r="AE32" i="22"/>
  <c r="M32" i="22"/>
  <c r="W32" i="22"/>
  <c r="P32" i="22"/>
  <c r="O32" i="22"/>
  <c r="Q32" i="22"/>
  <c r="N32" i="22"/>
  <c r="M31" i="23"/>
  <c r="W31" i="23"/>
  <c r="AE31" i="23"/>
  <c r="P31" i="23"/>
  <c r="N31" i="23"/>
  <c r="Q31" i="23"/>
  <c r="O31" i="23"/>
  <c r="Q10" i="23"/>
  <c r="Q11" i="23"/>
  <c r="Q12" i="23"/>
  <c r="Q13" i="23"/>
  <c r="Q14" i="23"/>
  <c r="Q15" i="23"/>
  <c r="Q16" i="23"/>
  <c r="Q17" i="23"/>
  <c r="Q18" i="23"/>
  <c r="Q19" i="23"/>
  <c r="Q20" i="23"/>
  <c r="Q21" i="23"/>
  <c r="Q22" i="23"/>
  <c r="Q23" i="23"/>
  <c r="Q24" i="23"/>
  <c r="Q25" i="23"/>
  <c r="Q26" i="23"/>
  <c r="Q27" i="23"/>
  <c r="Q28" i="23"/>
  <c r="W20" i="23"/>
  <c r="W21" i="23"/>
  <c r="W22" i="23"/>
  <c r="W23" i="23"/>
  <c r="W24" i="23"/>
  <c r="W25" i="23"/>
  <c r="W26" i="23"/>
  <c r="W27" i="23"/>
  <c r="W28" i="23"/>
  <c r="AE34" i="25"/>
  <c r="AK34" i="25" s="1"/>
  <c r="Q34" i="25"/>
  <c r="P34" i="25"/>
  <c r="N34" i="25"/>
  <c r="M34" i="25"/>
  <c r="O34" i="25"/>
  <c r="W34" i="25"/>
  <c r="M10" i="23"/>
  <c r="M11" i="23"/>
  <c r="M12" i="23"/>
  <c r="M13" i="23"/>
  <c r="M14" i="23"/>
  <c r="M15" i="23"/>
  <c r="M16" i="23"/>
  <c r="M17" i="23"/>
  <c r="M18" i="23"/>
  <c r="M19" i="23"/>
  <c r="M20" i="23"/>
  <c r="M21" i="23"/>
  <c r="M22" i="23"/>
  <c r="M23" i="23"/>
  <c r="M24" i="23"/>
  <c r="M25" i="23"/>
  <c r="M26" i="23"/>
  <c r="M27" i="23"/>
  <c r="M28" i="23"/>
  <c r="N10" i="23"/>
  <c r="N11" i="23"/>
  <c r="N12" i="23"/>
  <c r="N13" i="23"/>
  <c r="N14" i="23"/>
  <c r="N15" i="23"/>
  <c r="N16" i="23"/>
  <c r="N17" i="23"/>
  <c r="N18" i="23"/>
  <c r="N19" i="23"/>
  <c r="N20" i="23"/>
  <c r="N21" i="23"/>
  <c r="N22" i="23"/>
  <c r="N23" i="23"/>
  <c r="N24" i="23"/>
  <c r="N25" i="23"/>
  <c r="N26" i="23"/>
  <c r="N27" i="23"/>
  <c r="N28" i="23"/>
  <c r="AK41" i="35"/>
  <c r="AF42" i="14"/>
  <c r="Y48" i="38"/>
  <c r="N48" i="38"/>
  <c r="AH30" i="36"/>
  <c r="AG30" i="36"/>
  <c r="AG30" i="14" s="1"/>
  <c r="G31" i="20"/>
  <c r="T33" i="25"/>
  <c r="N1" i="14"/>
  <c r="AE14" i="26" s="1"/>
  <c r="AY26" i="26" s="1"/>
  <c r="P1" i="14"/>
  <c r="AG14" i="26" s="1"/>
  <c r="F31" i="21"/>
  <c r="F31" i="14" s="1"/>
  <c r="X30" i="14"/>
  <c r="Z30" i="14"/>
  <c r="X34" i="25"/>
  <c r="Y34" i="25"/>
  <c r="AC33" i="25"/>
  <c r="AC15" i="24"/>
  <c r="Y30" i="14"/>
  <c r="AM27" i="36"/>
  <c r="X31" i="24"/>
  <c r="Y31" i="24"/>
  <c r="AE30" i="14"/>
  <c r="M1" i="14"/>
  <c r="AD14" i="26" s="1"/>
  <c r="AY25" i="26" s="1"/>
  <c r="O1" i="14"/>
  <c r="AF14" i="26" s="1"/>
  <c r="C32" i="24"/>
  <c r="Q1" i="14"/>
  <c r="AH14" i="26" s="1"/>
  <c r="R48" i="38"/>
  <c r="Z48" i="38"/>
  <c r="O48" i="38"/>
  <c r="T26" i="22"/>
  <c r="T18" i="22"/>
  <c r="T10" i="22"/>
  <c r="T25" i="22"/>
  <c r="T17" i="22"/>
  <c r="T9" i="22"/>
  <c r="T24" i="22"/>
  <c r="T16" i="22"/>
  <c r="T8" i="22"/>
  <c r="T23" i="22"/>
  <c r="T15" i="22"/>
  <c r="T7" i="22"/>
  <c r="T22" i="22"/>
  <c r="T14" i="22"/>
  <c r="T6" i="22"/>
  <c r="T29" i="22"/>
  <c r="T21" i="22"/>
  <c r="T13" i="22"/>
  <c r="T28" i="22"/>
  <c r="T20" i="22"/>
  <c r="T12" i="22"/>
  <c r="T27" i="22"/>
  <c r="T19" i="22"/>
  <c r="T11" i="22"/>
  <c r="W1" i="14"/>
  <c r="AJ14" i="26" s="1"/>
  <c r="AY28" i="26" s="1"/>
  <c r="AK28" i="36"/>
  <c r="AL28" i="36" s="1"/>
  <c r="R30" i="14"/>
  <c r="AJ29" i="14"/>
  <c r="AH29" i="14"/>
  <c r="AY29" i="14" s="1"/>
  <c r="AK31" i="22"/>
  <c r="R31" i="20"/>
  <c r="M47" i="38"/>
  <c r="M87" i="38" s="1"/>
  <c r="X47" i="38"/>
  <c r="X87" i="38" s="1"/>
  <c r="AI30" i="36"/>
  <c r="AI30" i="14" s="1"/>
  <c r="D46" i="38"/>
  <c r="AE48" i="38"/>
  <c r="S48" i="38"/>
  <c r="AK47" i="38"/>
  <c r="AK29" i="36"/>
  <c r="C31" i="36"/>
  <c r="AJ48" i="38"/>
  <c r="H48" i="38"/>
  <c r="J48" i="38"/>
  <c r="T48" i="38"/>
  <c r="AF48" i="38"/>
  <c r="V48" i="38"/>
  <c r="AG48" i="38"/>
  <c r="I48" i="38"/>
  <c r="W48" i="38"/>
  <c r="AC48" i="38"/>
  <c r="AH48" i="38"/>
  <c r="U48" i="38"/>
  <c r="AI48" i="38"/>
  <c r="AD48" i="38"/>
  <c r="C49" i="38"/>
  <c r="C43" i="35"/>
  <c r="AF43" i="35" s="1"/>
  <c r="X32" i="22"/>
  <c r="Y32" i="22"/>
  <c r="X31" i="23"/>
  <c r="Y31" i="23"/>
  <c r="R31" i="21"/>
  <c r="T31" i="21" s="1"/>
  <c r="AK30" i="23"/>
  <c r="C32" i="20"/>
  <c r="T30" i="20"/>
  <c r="C33" i="21"/>
  <c r="D33" i="21" s="1"/>
  <c r="C35" i="25"/>
  <c r="C33" i="22"/>
  <c r="T31" i="22"/>
  <c r="C32" i="23"/>
  <c r="AY27" i="26" l="1"/>
  <c r="H32" i="21"/>
  <c r="I32" i="21" s="1"/>
  <c r="N30" i="14"/>
  <c r="G32" i="21"/>
  <c r="Q9" i="14"/>
  <c r="Q30" i="14"/>
  <c r="G31" i="14"/>
  <c r="AT30" i="36"/>
  <c r="AU30" i="36" s="1"/>
  <c r="AJ30" i="36" s="1"/>
  <c r="AJ30" i="14" s="1"/>
  <c r="B33" i="35"/>
  <c r="B39" i="38"/>
  <c r="AQ31" i="36"/>
  <c r="AS31" i="36"/>
  <c r="AR31" i="36"/>
  <c r="L39" i="35"/>
  <c r="L39" i="14" s="1"/>
  <c r="A46" i="38"/>
  <c r="AP39" i="36" s="1"/>
  <c r="O9" i="14"/>
  <c r="M9" i="14"/>
  <c r="N9" i="14"/>
  <c r="P9" i="14"/>
  <c r="W30" i="14"/>
  <c r="T9" i="23"/>
  <c r="AE16" i="26"/>
  <c r="AY29" i="26" s="1"/>
  <c r="AV31" i="20"/>
  <c r="D32" i="20"/>
  <c r="AU33" i="21"/>
  <c r="AA31" i="14"/>
  <c r="AA33" i="22"/>
  <c r="Z33" i="22"/>
  <c r="Z32" i="23"/>
  <c r="AA32" i="23"/>
  <c r="AA35" i="25"/>
  <c r="Z35" i="25"/>
  <c r="Z32" i="24"/>
  <c r="AA32" i="24"/>
  <c r="T6" i="24"/>
  <c r="U6" i="24" s="1"/>
  <c r="AE32" i="24"/>
  <c r="AK32" i="24" s="1"/>
  <c r="P32" i="24"/>
  <c r="O32" i="24"/>
  <c r="M32" i="24"/>
  <c r="N32" i="24"/>
  <c r="Q32" i="24"/>
  <c r="W32" i="24"/>
  <c r="N32" i="23"/>
  <c r="M32" i="23"/>
  <c r="AE32" i="23"/>
  <c r="Q32" i="23"/>
  <c r="P32" i="23"/>
  <c r="W32" i="23"/>
  <c r="O32" i="23"/>
  <c r="AE33" i="22"/>
  <c r="O33" i="22"/>
  <c r="W33" i="22"/>
  <c r="Q33" i="22"/>
  <c r="P33" i="22"/>
  <c r="N33" i="22"/>
  <c r="M33" i="22"/>
  <c r="AE35" i="25"/>
  <c r="AK35" i="25" s="1"/>
  <c r="W35" i="25"/>
  <c r="P35" i="25"/>
  <c r="O35" i="25"/>
  <c r="M35" i="25"/>
  <c r="Q35" i="25"/>
  <c r="N35" i="25"/>
  <c r="AK14" i="26"/>
  <c r="AU25" i="26" s="1"/>
  <c r="O10" i="14"/>
  <c r="AK42" i="35"/>
  <c r="AF43" i="14"/>
  <c r="Y49" i="38"/>
  <c r="N49" i="38"/>
  <c r="AH31" i="36"/>
  <c r="AG31" i="36"/>
  <c r="AG31" i="14" s="1"/>
  <c r="G32" i="20"/>
  <c r="O14" i="14"/>
  <c r="O26" i="14"/>
  <c r="DA80" i="26" s="1"/>
  <c r="DK80" i="26" s="1"/>
  <c r="O18" i="14"/>
  <c r="Q27" i="14"/>
  <c r="Q19" i="14"/>
  <c r="Q11" i="14"/>
  <c r="CX82" i="26" s="1"/>
  <c r="DH82" i="26" s="1"/>
  <c r="AC13" i="24"/>
  <c r="W13" i="14"/>
  <c r="P19" i="14"/>
  <c r="N10" i="14"/>
  <c r="N23" i="14"/>
  <c r="N15" i="14"/>
  <c r="W12" i="14"/>
  <c r="AC12" i="24"/>
  <c r="P27" i="14"/>
  <c r="O17" i="14"/>
  <c r="P17" i="14"/>
  <c r="W14" i="14"/>
  <c r="AC14" i="24"/>
  <c r="M12" i="14"/>
  <c r="W15" i="14"/>
  <c r="AC11" i="24"/>
  <c r="W11" i="14"/>
  <c r="CX86" i="26" s="1"/>
  <c r="O25" i="14"/>
  <c r="P25" i="14"/>
  <c r="M6" i="14"/>
  <c r="CW78" i="26" s="1"/>
  <c r="DG78" i="26" s="1"/>
  <c r="M30" i="14"/>
  <c r="O23" i="14"/>
  <c r="O15" i="14"/>
  <c r="M10" i="14"/>
  <c r="Q31" i="14"/>
  <c r="DB82" i="26" s="1"/>
  <c r="DL82" i="26" s="1"/>
  <c r="W31" i="14"/>
  <c r="DB86" i="26" s="1"/>
  <c r="DL86" i="26" s="1"/>
  <c r="X35" i="25"/>
  <c r="Y35" i="25"/>
  <c r="T34" i="25"/>
  <c r="AC34" i="25"/>
  <c r="AM28" i="36"/>
  <c r="O30" i="14"/>
  <c r="M17" i="14"/>
  <c r="P24" i="14"/>
  <c r="O31" i="14"/>
  <c r="DB80" i="26" s="1"/>
  <c r="DL80" i="26" s="1"/>
  <c r="P16" i="14"/>
  <c r="CY81" i="26" s="1"/>
  <c r="DI81" i="26" s="1"/>
  <c r="Y31" i="14"/>
  <c r="M11" i="14"/>
  <c r="CX78" i="26" s="1"/>
  <c r="DH78" i="26" s="1"/>
  <c r="Q14" i="14"/>
  <c r="P18" i="14"/>
  <c r="N26" i="14"/>
  <c r="DA79" i="26" s="1"/>
  <c r="DK79" i="26" s="1"/>
  <c r="Q22" i="14"/>
  <c r="P26" i="14"/>
  <c r="DA81" i="26" s="1"/>
  <c r="DK81" i="26" s="1"/>
  <c r="N18" i="14"/>
  <c r="Q29" i="14"/>
  <c r="Q21" i="14"/>
  <c r="CZ82" i="26" s="1"/>
  <c r="DJ82" i="26" s="1"/>
  <c r="Q13" i="14"/>
  <c r="O24" i="14"/>
  <c r="O16" i="14"/>
  <c r="CY80" i="26" s="1"/>
  <c r="DI80" i="26" s="1"/>
  <c r="AC30" i="24"/>
  <c r="P31" i="14"/>
  <c r="DB81" i="26" s="1"/>
  <c r="DL81" i="26" s="1"/>
  <c r="N24" i="14"/>
  <c r="N16" i="14"/>
  <c r="CY79" i="26" s="1"/>
  <c r="DI79" i="26" s="1"/>
  <c r="P22" i="14"/>
  <c r="P14" i="14"/>
  <c r="F32" i="21"/>
  <c r="F32" i="14" s="1"/>
  <c r="M15" i="14"/>
  <c r="M13" i="14"/>
  <c r="X31" i="14"/>
  <c r="P28" i="14"/>
  <c r="P20" i="14"/>
  <c r="P12" i="14"/>
  <c r="W16" i="14"/>
  <c r="CY86" i="26" s="1"/>
  <c r="P11" i="14"/>
  <c r="CX81" i="26" s="1"/>
  <c r="DH81" i="26" s="1"/>
  <c r="Q10" i="14"/>
  <c r="M14" i="14"/>
  <c r="P29" i="14"/>
  <c r="P13" i="14"/>
  <c r="P21" i="14"/>
  <c r="CZ81" i="26" s="1"/>
  <c r="DJ81" i="26" s="1"/>
  <c r="T25" i="24"/>
  <c r="T17" i="24"/>
  <c r="N25" i="14"/>
  <c r="N17" i="14"/>
  <c r="Q28" i="14"/>
  <c r="Q20" i="14"/>
  <c r="Q12" i="14"/>
  <c r="P10" i="14"/>
  <c r="M16" i="14"/>
  <c r="CY78" i="26" s="1"/>
  <c r="DI78" i="26" s="1"/>
  <c r="W19" i="14"/>
  <c r="P23" i="14"/>
  <c r="P15" i="14"/>
  <c r="W18" i="14"/>
  <c r="T10" i="24"/>
  <c r="W17" i="14"/>
  <c r="T9" i="24"/>
  <c r="T8" i="24"/>
  <c r="T30" i="24"/>
  <c r="T26" i="24"/>
  <c r="T18" i="24"/>
  <c r="T7" i="24"/>
  <c r="U7" i="24" s="1"/>
  <c r="Q18" i="14"/>
  <c r="T16" i="24"/>
  <c r="Q25" i="14"/>
  <c r="N21" i="14"/>
  <c r="CZ79" i="26" s="1"/>
  <c r="DJ79" i="26" s="1"/>
  <c r="T23" i="24"/>
  <c r="T15" i="24"/>
  <c r="N31" i="14"/>
  <c r="DB79" i="26" s="1"/>
  <c r="DL79" i="26" s="1"/>
  <c r="Q24" i="14"/>
  <c r="Q16" i="14"/>
  <c r="CY82" i="26" s="1"/>
  <c r="DI82" i="26" s="1"/>
  <c r="N28" i="14"/>
  <c r="N20" i="14"/>
  <c r="N12" i="14"/>
  <c r="O29" i="14"/>
  <c r="O21" i="14"/>
  <c r="CZ80" i="26" s="1"/>
  <c r="DJ80" i="26" s="1"/>
  <c r="O13" i="14"/>
  <c r="T22" i="24"/>
  <c r="T14" i="24"/>
  <c r="N22" i="14"/>
  <c r="Q23" i="14"/>
  <c r="Q15" i="14"/>
  <c r="N27" i="14"/>
  <c r="N19" i="14"/>
  <c r="N11" i="14"/>
  <c r="CX79" i="26" s="1"/>
  <c r="DH79" i="26" s="1"/>
  <c r="O28" i="14"/>
  <c r="O20" i="14"/>
  <c r="O12" i="14"/>
  <c r="T29" i="24"/>
  <c r="T21" i="24"/>
  <c r="T13" i="24"/>
  <c r="Q17" i="14"/>
  <c r="N29" i="14"/>
  <c r="O22" i="14"/>
  <c r="O27" i="14"/>
  <c r="O19" i="14"/>
  <c r="O11" i="14"/>
  <c r="CX80" i="26" s="1"/>
  <c r="DH80" i="26" s="1"/>
  <c r="T28" i="24"/>
  <c r="T20" i="24"/>
  <c r="T12" i="24"/>
  <c r="M31" i="14"/>
  <c r="DB78" i="26" s="1"/>
  <c r="DL78" i="26" s="1"/>
  <c r="Q26" i="14"/>
  <c r="DA82" i="26" s="1"/>
  <c r="DK82" i="26" s="1"/>
  <c r="N14" i="14"/>
  <c r="T24" i="24"/>
  <c r="N13" i="14"/>
  <c r="AE31" i="14"/>
  <c r="DB87" i="26" s="1"/>
  <c r="DL87" i="26" s="1"/>
  <c r="T27" i="24"/>
  <c r="T19" i="24"/>
  <c r="T11" i="24"/>
  <c r="T31" i="24"/>
  <c r="Z31" i="14"/>
  <c r="Y32" i="24"/>
  <c r="X32" i="24"/>
  <c r="AC31" i="24"/>
  <c r="C33" i="24"/>
  <c r="T30" i="23"/>
  <c r="AG49" i="38"/>
  <c r="Z49" i="38"/>
  <c r="O49" i="38"/>
  <c r="W22" i="14"/>
  <c r="AC22" i="23"/>
  <c r="U6" i="22"/>
  <c r="M23" i="14"/>
  <c r="T23" i="23"/>
  <c r="T15" i="23"/>
  <c r="W29" i="14"/>
  <c r="AC29" i="23"/>
  <c r="W21" i="14"/>
  <c r="CZ86" i="26" s="1"/>
  <c r="AC21" i="23"/>
  <c r="M22" i="14"/>
  <c r="T22" i="23"/>
  <c r="T14" i="23"/>
  <c r="W28" i="14"/>
  <c r="AC28" i="23"/>
  <c r="W20" i="14"/>
  <c r="AC20" i="23"/>
  <c r="M29" i="14"/>
  <c r="T29" i="23"/>
  <c r="M21" i="14"/>
  <c r="CZ78" i="26" s="1"/>
  <c r="DJ78" i="26" s="1"/>
  <c r="T21" i="23"/>
  <c r="T13" i="23"/>
  <c r="W27" i="14"/>
  <c r="AC27" i="23"/>
  <c r="M28" i="14"/>
  <c r="T28" i="23"/>
  <c r="M20" i="14"/>
  <c r="T20" i="23"/>
  <c r="T12" i="23"/>
  <c r="W26" i="14"/>
  <c r="DA86" i="26" s="1"/>
  <c r="AC26" i="23"/>
  <c r="M27" i="14"/>
  <c r="T27" i="23"/>
  <c r="M19" i="14"/>
  <c r="T19" i="23"/>
  <c r="T11" i="23"/>
  <c r="W25" i="14"/>
  <c r="AC25" i="23"/>
  <c r="M26" i="14"/>
  <c r="DA78" i="26" s="1"/>
  <c r="DK78" i="26" s="1"/>
  <c r="T26" i="23"/>
  <c r="T18" i="23"/>
  <c r="T10" i="23"/>
  <c r="M18" i="14"/>
  <c r="W24" i="14"/>
  <c r="AC24" i="23"/>
  <c r="U7" i="22"/>
  <c r="M25" i="14"/>
  <c r="T25" i="23"/>
  <c r="T17" i="23"/>
  <c r="W23" i="14"/>
  <c r="AC23" i="23"/>
  <c r="M24" i="14"/>
  <c r="T24" i="23"/>
  <c r="T16" i="23"/>
  <c r="H33" i="21"/>
  <c r="I33" i="21" s="1"/>
  <c r="G33" i="21"/>
  <c r="AK28" i="14"/>
  <c r="R31" i="14"/>
  <c r="DB83" i="26" s="1"/>
  <c r="DL83" i="26" s="1"/>
  <c r="AH30" i="14"/>
  <c r="AY30" i="14" s="1"/>
  <c r="AL29" i="36"/>
  <c r="AK29" i="14"/>
  <c r="AA47" i="38"/>
  <c r="F47" i="38" s="1"/>
  <c r="AK32" i="22"/>
  <c r="P47" i="38"/>
  <c r="E47" i="38" s="1"/>
  <c r="R32" i="20"/>
  <c r="W49" i="38"/>
  <c r="AI31" i="36"/>
  <c r="AI31" i="14" s="1"/>
  <c r="P48" i="38"/>
  <c r="E48" i="38" s="1"/>
  <c r="I49" i="38"/>
  <c r="AE49" i="38"/>
  <c r="S49" i="38"/>
  <c r="C32" i="36"/>
  <c r="AK48" i="38"/>
  <c r="AD49" i="38"/>
  <c r="AJ49" i="38"/>
  <c r="V49" i="38"/>
  <c r="AA48" i="38"/>
  <c r="F48" i="38" s="1"/>
  <c r="J49" i="38"/>
  <c r="AI49" i="38"/>
  <c r="T49" i="38"/>
  <c r="AF49" i="38"/>
  <c r="H49" i="38"/>
  <c r="R49" i="38"/>
  <c r="AC49" i="38"/>
  <c r="AH49" i="38"/>
  <c r="U49" i="38"/>
  <c r="C50" i="38"/>
  <c r="C44" i="35"/>
  <c r="AF44" i="35" s="1"/>
  <c r="X32" i="23"/>
  <c r="Y32" i="23"/>
  <c r="Y33" i="22"/>
  <c r="X33" i="22"/>
  <c r="AK31" i="23"/>
  <c r="R32" i="21"/>
  <c r="T32" i="21" s="1"/>
  <c r="C33" i="20"/>
  <c r="D33" i="20" s="1"/>
  <c r="T31" i="20"/>
  <c r="C34" i="21"/>
  <c r="D34" i="21" s="1"/>
  <c r="AC31" i="23"/>
  <c r="C36" i="25"/>
  <c r="C34" i="22"/>
  <c r="T32" i="22"/>
  <c r="T31" i="23"/>
  <c r="C33" i="23"/>
  <c r="G32" i="14" l="1"/>
  <c r="AS32" i="36"/>
  <c r="AQ32" i="36"/>
  <c r="AR32" i="36"/>
  <c r="AT31" i="36"/>
  <c r="AU31" i="36" s="1"/>
  <c r="AJ31" i="36" s="1"/>
  <c r="AJ31" i="14" s="1"/>
  <c r="DB93" i="26" s="1"/>
  <c r="DL93" i="26" s="1"/>
  <c r="B40" i="38"/>
  <c r="B34" i="35"/>
  <c r="DB88" i="26"/>
  <c r="DL88" i="26" s="1"/>
  <c r="DA89" i="26"/>
  <c r="DK89" i="26" s="1"/>
  <c r="DK86" i="26"/>
  <c r="CX89" i="26"/>
  <c r="DH89" i="26" s="1"/>
  <c r="DH86" i="26"/>
  <c r="CY89" i="26"/>
  <c r="DI89" i="26" s="1"/>
  <c r="DI86" i="26"/>
  <c r="CZ89" i="26"/>
  <c r="DJ89" i="26" s="1"/>
  <c r="DJ86" i="26"/>
  <c r="DB84" i="26"/>
  <c r="DL84" i="26" s="1"/>
  <c r="DA84" i="26"/>
  <c r="CZ84" i="26"/>
  <c r="CX84" i="26"/>
  <c r="CY84" i="26"/>
  <c r="CW84" i="26"/>
  <c r="DG84" i="26" s="1"/>
  <c r="AV32" i="20"/>
  <c r="AU34" i="21"/>
  <c r="AA32" i="14"/>
  <c r="Z33" i="24"/>
  <c r="AA33" i="24"/>
  <c r="Z33" i="23"/>
  <c r="AA33" i="23"/>
  <c r="Z34" i="22"/>
  <c r="AA34" i="22"/>
  <c r="Z36" i="25"/>
  <c r="AA36" i="25"/>
  <c r="AE36" i="25"/>
  <c r="AK36" i="25" s="1"/>
  <c r="M36" i="25"/>
  <c r="W36" i="25"/>
  <c r="Q36" i="25"/>
  <c r="O36" i="25"/>
  <c r="P36" i="25"/>
  <c r="N36" i="25"/>
  <c r="AE34" i="22"/>
  <c r="Q34" i="22"/>
  <c r="N34" i="22"/>
  <c r="P34" i="22"/>
  <c r="W34" i="22"/>
  <c r="O34" i="22"/>
  <c r="M34" i="22"/>
  <c r="AE33" i="24"/>
  <c r="AK33" i="24" s="1"/>
  <c r="M33" i="24"/>
  <c r="W33" i="24"/>
  <c r="Q33" i="24"/>
  <c r="O33" i="24"/>
  <c r="P33" i="24"/>
  <c r="N33" i="24"/>
  <c r="O33" i="23"/>
  <c r="N33" i="23"/>
  <c r="W33" i="23"/>
  <c r="AE33" i="23"/>
  <c r="P33" i="23"/>
  <c r="M33" i="23"/>
  <c r="Q33" i="23"/>
  <c r="AK43" i="35"/>
  <c r="AF44" i="14"/>
  <c r="N50" i="38"/>
  <c r="Y50" i="38"/>
  <c r="D47" i="38"/>
  <c r="AH32" i="36"/>
  <c r="AG32" i="36"/>
  <c r="AG32" i="14" s="1"/>
  <c r="G33" i="20"/>
  <c r="G33" i="14" s="1"/>
  <c r="T35" i="25"/>
  <c r="AC35" i="25"/>
  <c r="AM29" i="36"/>
  <c r="Y36" i="25"/>
  <c r="X36" i="25"/>
  <c r="AE32" i="14"/>
  <c r="P32" i="14"/>
  <c r="W32" i="14"/>
  <c r="Z32" i="14"/>
  <c r="M32" i="14"/>
  <c r="N32" i="14"/>
  <c r="O32" i="14"/>
  <c r="X32" i="14"/>
  <c r="Y32" i="14"/>
  <c r="T32" i="24"/>
  <c r="Q32" i="14"/>
  <c r="AC32" i="24"/>
  <c r="X33" i="24"/>
  <c r="Y33" i="24"/>
  <c r="F33" i="21"/>
  <c r="F33" i="14" s="1"/>
  <c r="C34" i="24"/>
  <c r="S50" i="38"/>
  <c r="O50" i="38"/>
  <c r="Z50" i="38"/>
  <c r="AD6" i="22"/>
  <c r="R32" i="14"/>
  <c r="H34" i="21"/>
  <c r="I34" i="21" s="1"/>
  <c r="G34" i="21"/>
  <c r="AK30" i="36"/>
  <c r="AL30" i="36" s="1"/>
  <c r="AH31" i="14"/>
  <c r="AY31" i="14" s="1"/>
  <c r="AK33" i="22"/>
  <c r="R33" i="20"/>
  <c r="AF50" i="38"/>
  <c r="P49" i="38"/>
  <c r="E49" i="38" s="1"/>
  <c r="AI32" i="36"/>
  <c r="AI32" i="14" s="1"/>
  <c r="AE50" i="38"/>
  <c r="AJ50" i="38"/>
  <c r="D48" i="38"/>
  <c r="H50" i="38"/>
  <c r="AA49" i="38"/>
  <c r="F49" i="38" s="1"/>
  <c r="J50" i="38"/>
  <c r="C33" i="36"/>
  <c r="AK49" i="38"/>
  <c r="I50" i="38"/>
  <c r="AD50" i="38"/>
  <c r="R50" i="38"/>
  <c r="AH50" i="38"/>
  <c r="T50" i="38"/>
  <c r="AI50" i="38"/>
  <c r="W50" i="38"/>
  <c r="AG50" i="38"/>
  <c r="U50" i="38"/>
  <c r="V50" i="38"/>
  <c r="AC50" i="38"/>
  <c r="C51" i="38"/>
  <c r="C45" i="35"/>
  <c r="AF45" i="35" s="1"/>
  <c r="Y33" i="23"/>
  <c r="X33" i="23"/>
  <c r="Y34" i="22"/>
  <c r="X34" i="22"/>
  <c r="AK32" i="23"/>
  <c r="R33" i="21"/>
  <c r="T33" i="21" s="1"/>
  <c r="C34" i="20"/>
  <c r="T32" i="20"/>
  <c r="C35" i="21"/>
  <c r="D35" i="21" s="1"/>
  <c r="AC32" i="23"/>
  <c r="C37" i="25"/>
  <c r="C35" i="22"/>
  <c r="C34" i="23"/>
  <c r="T33" i="22"/>
  <c r="T32" i="23"/>
  <c r="AS33" i="36" l="1"/>
  <c r="AQ33" i="36"/>
  <c r="AR33" i="36"/>
  <c r="B35" i="35"/>
  <c r="B41" i="38"/>
  <c r="AT32" i="36"/>
  <c r="AU32" i="36" s="1"/>
  <c r="AJ32" i="36" s="1"/>
  <c r="AK32" i="36" s="1"/>
  <c r="L41" i="35"/>
  <c r="L41" i="14" s="1"/>
  <c r="A48" i="38"/>
  <c r="AP41" i="36" s="1"/>
  <c r="L40" i="35"/>
  <c r="L40" i="14" s="1"/>
  <c r="A47" i="38"/>
  <c r="AP40" i="36" s="1"/>
  <c r="DB89" i="26"/>
  <c r="DB90" i="26" s="1"/>
  <c r="DL90" i="26" s="1"/>
  <c r="CY90" i="26"/>
  <c r="DI90" i="26" s="1"/>
  <c r="DI84" i="26"/>
  <c r="CX90" i="26"/>
  <c r="DH90" i="26" s="1"/>
  <c r="DH84" i="26"/>
  <c r="CZ90" i="26"/>
  <c r="DJ90" i="26" s="1"/>
  <c r="DJ84" i="26"/>
  <c r="DA90" i="26"/>
  <c r="DK90" i="26" s="1"/>
  <c r="DK84" i="26"/>
  <c r="CW90" i="26"/>
  <c r="DG90" i="26" s="1"/>
  <c r="AV33" i="20"/>
  <c r="D34" i="20"/>
  <c r="AU35" i="21"/>
  <c r="AA33" i="14"/>
  <c r="Z37" i="25"/>
  <c r="AA37" i="25"/>
  <c r="AA34" i="24"/>
  <c r="Z34" i="24"/>
  <c r="Z34" i="23"/>
  <c r="AA34" i="23"/>
  <c r="Z35" i="22"/>
  <c r="AA35" i="22"/>
  <c r="P34" i="23"/>
  <c r="O34" i="23"/>
  <c r="M34" i="23"/>
  <c r="Q34" i="23"/>
  <c r="AE34" i="23"/>
  <c r="N34" i="23"/>
  <c r="W34" i="23"/>
  <c r="AE35" i="22"/>
  <c r="P35" i="22"/>
  <c r="N35" i="22"/>
  <c r="M35" i="22"/>
  <c r="W35" i="22"/>
  <c r="Q35" i="22"/>
  <c r="O35" i="22"/>
  <c r="AE37" i="25"/>
  <c r="AK37" i="25" s="1"/>
  <c r="O37" i="25"/>
  <c r="N37" i="25"/>
  <c r="Q37" i="25"/>
  <c r="M37" i="25"/>
  <c r="W37" i="25"/>
  <c r="P37" i="25"/>
  <c r="AE34" i="24"/>
  <c r="AK34" i="24" s="1"/>
  <c r="O34" i="24"/>
  <c r="Q34" i="24"/>
  <c r="W34" i="24"/>
  <c r="P34" i="24"/>
  <c r="M34" i="24"/>
  <c r="N34" i="24"/>
  <c r="G34" i="20"/>
  <c r="G34" i="14" s="1"/>
  <c r="AK44" i="35"/>
  <c r="AF45" i="14"/>
  <c r="Y51" i="38"/>
  <c r="N51" i="38"/>
  <c r="AH33" i="36"/>
  <c r="AG33" i="36"/>
  <c r="AG33" i="14" s="1"/>
  <c r="AM30" i="36"/>
  <c r="Q33" i="14"/>
  <c r="T36" i="25"/>
  <c r="AC36" i="25"/>
  <c r="Y37" i="25"/>
  <c r="X37" i="25"/>
  <c r="M33" i="14"/>
  <c r="N33" i="14"/>
  <c r="P33" i="14"/>
  <c r="F34" i="21"/>
  <c r="F34" i="14" s="1"/>
  <c r="Z33" i="14"/>
  <c r="AE33" i="14"/>
  <c r="X33" i="14"/>
  <c r="AC33" i="24"/>
  <c r="Y33" i="14"/>
  <c r="T33" i="24"/>
  <c r="O33" i="14"/>
  <c r="X34" i="24"/>
  <c r="Y34" i="24"/>
  <c r="W33" i="14"/>
  <c r="C35" i="24"/>
  <c r="V51" i="38"/>
  <c r="Z51" i="38"/>
  <c r="O51" i="38"/>
  <c r="AL6" i="22"/>
  <c r="H35" i="21"/>
  <c r="I35" i="21" s="1"/>
  <c r="G35" i="21"/>
  <c r="R33" i="14"/>
  <c r="AK30" i="14"/>
  <c r="AK31" i="36"/>
  <c r="AL31" i="36" s="1"/>
  <c r="AH32" i="14"/>
  <c r="AY32" i="14" s="1"/>
  <c r="AK34" i="22"/>
  <c r="R34" i="20"/>
  <c r="AI33" i="36"/>
  <c r="AI33" i="14" s="1"/>
  <c r="P50" i="38"/>
  <c r="E50" i="38" s="1"/>
  <c r="D49" i="38"/>
  <c r="AF51" i="38"/>
  <c r="AI51" i="38"/>
  <c r="J51" i="38"/>
  <c r="C34" i="36"/>
  <c r="AE51" i="38"/>
  <c r="AK50" i="38"/>
  <c r="AD51" i="38"/>
  <c r="AA50" i="38"/>
  <c r="F50" i="38" s="1"/>
  <c r="AC51" i="38"/>
  <c r="R51" i="38"/>
  <c r="H51" i="38"/>
  <c r="W51" i="38"/>
  <c r="AH51" i="38"/>
  <c r="T51" i="38"/>
  <c r="U51" i="38"/>
  <c r="AG51" i="38"/>
  <c r="S51" i="38"/>
  <c r="AJ51" i="38"/>
  <c r="I51" i="38"/>
  <c r="C52" i="38"/>
  <c r="C46" i="35"/>
  <c r="AF46" i="35" s="1"/>
  <c r="Y35" i="22"/>
  <c r="X35" i="22"/>
  <c r="Y34" i="23"/>
  <c r="X34" i="23"/>
  <c r="AK33" i="23"/>
  <c r="C35" i="20"/>
  <c r="T33" i="20"/>
  <c r="R34" i="21"/>
  <c r="T34" i="21" s="1"/>
  <c r="C36" i="21"/>
  <c r="D36" i="21" s="1"/>
  <c r="AC33" i="23"/>
  <c r="C38" i="25"/>
  <c r="C36" i="22"/>
  <c r="C35" i="23"/>
  <c r="T34" i="22"/>
  <c r="T33" i="23"/>
  <c r="AJ32" i="14" l="1"/>
  <c r="AS34" i="36"/>
  <c r="AQ34" i="36"/>
  <c r="AR34" i="36"/>
  <c r="B42" i="38"/>
  <c r="B36" i="35"/>
  <c r="AT33" i="36"/>
  <c r="AU33" i="36" s="1"/>
  <c r="AJ33" i="36" s="1"/>
  <c r="AJ33" i="14" s="1"/>
  <c r="L42" i="35"/>
  <c r="L42" i="14" s="1"/>
  <c r="A49" i="38"/>
  <c r="AP42" i="36" s="1"/>
  <c r="DL89" i="26"/>
  <c r="CW91" i="26"/>
  <c r="DG91" i="26" s="1"/>
  <c r="AV34" i="20"/>
  <c r="D35" i="20"/>
  <c r="AU36" i="21"/>
  <c r="AA34" i="14"/>
  <c r="Z36" i="22"/>
  <c r="AA36" i="22"/>
  <c r="Z38" i="25"/>
  <c r="AA38" i="25"/>
  <c r="Z35" i="23"/>
  <c r="AA35" i="23"/>
  <c r="AA35" i="24"/>
  <c r="Z35" i="24"/>
  <c r="Q35" i="23"/>
  <c r="P35" i="23"/>
  <c r="N35" i="23"/>
  <c r="M35" i="23"/>
  <c r="AE35" i="23"/>
  <c r="W35" i="23"/>
  <c r="O35" i="23"/>
  <c r="AE35" i="24"/>
  <c r="AK35" i="24" s="1"/>
  <c r="Q35" i="24"/>
  <c r="N35" i="24"/>
  <c r="M35" i="24"/>
  <c r="P35" i="24"/>
  <c r="O35" i="24"/>
  <c r="W35" i="24"/>
  <c r="AE36" i="22"/>
  <c r="M36" i="22"/>
  <c r="W36" i="22"/>
  <c r="P36" i="22"/>
  <c r="O36" i="22"/>
  <c r="N36" i="22"/>
  <c r="Q36" i="22"/>
  <c r="AE38" i="25"/>
  <c r="AK38" i="25" s="1"/>
  <c r="Q38" i="25"/>
  <c r="P38" i="25"/>
  <c r="N38" i="25"/>
  <c r="M38" i="25"/>
  <c r="O38" i="25"/>
  <c r="W38" i="25"/>
  <c r="AK45" i="35"/>
  <c r="G35" i="20"/>
  <c r="G35" i="14" s="1"/>
  <c r="AF46" i="14"/>
  <c r="N52" i="38"/>
  <c r="Y52" i="38"/>
  <c r="AH34" i="36"/>
  <c r="AG34" i="36"/>
  <c r="AG34" i="14" s="1"/>
  <c r="AM31" i="36"/>
  <c r="T37" i="25"/>
  <c r="X38" i="25"/>
  <c r="Y38" i="25"/>
  <c r="AC37" i="25"/>
  <c r="N34" i="14"/>
  <c r="AE34" i="14"/>
  <c r="X34" i="14"/>
  <c r="AC34" i="24"/>
  <c r="M34" i="14"/>
  <c r="F35" i="21"/>
  <c r="F35" i="14" s="1"/>
  <c r="W34" i="14"/>
  <c r="Q34" i="14"/>
  <c r="P34" i="14"/>
  <c r="Y34" i="14"/>
  <c r="Z34" i="14"/>
  <c r="Y35" i="24"/>
  <c r="X35" i="24"/>
  <c r="T34" i="24"/>
  <c r="O34" i="14"/>
  <c r="C36" i="24"/>
  <c r="AE52" i="38"/>
  <c r="Z52" i="38"/>
  <c r="O52" i="38"/>
  <c r="AM6" i="22"/>
  <c r="H36" i="21"/>
  <c r="I36" i="21" s="1"/>
  <c r="G36" i="21"/>
  <c r="R34" i="14"/>
  <c r="AK31" i="14"/>
  <c r="AH33" i="14"/>
  <c r="AY33" i="14" s="1"/>
  <c r="AL32" i="36"/>
  <c r="AK32" i="14"/>
  <c r="AK35" i="22"/>
  <c r="T34" i="20"/>
  <c r="D50" i="38"/>
  <c r="R35" i="20"/>
  <c r="AI34" i="36"/>
  <c r="AI34" i="14" s="1"/>
  <c r="P51" i="38"/>
  <c r="E51" i="38" s="1"/>
  <c r="AK51" i="38"/>
  <c r="C35" i="36"/>
  <c r="AA51" i="38"/>
  <c r="F51" i="38" s="1"/>
  <c r="I52" i="38"/>
  <c r="J52" i="38"/>
  <c r="AJ52" i="38"/>
  <c r="R52" i="38"/>
  <c r="AD52" i="38"/>
  <c r="T52" i="38"/>
  <c r="AF52" i="38"/>
  <c r="U52" i="38"/>
  <c r="AG52" i="38"/>
  <c r="W52" i="38"/>
  <c r="H52" i="38"/>
  <c r="V52" i="38"/>
  <c r="AH52" i="38"/>
  <c r="AC52" i="38"/>
  <c r="S52" i="38"/>
  <c r="AI52" i="38"/>
  <c r="C53" i="38"/>
  <c r="C47" i="35"/>
  <c r="AF47" i="35" s="1"/>
  <c r="Y35" i="23"/>
  <c r="X35" i="23"/>
  <c r="Y36" i="22"/>
  <c r="X36" i="22"/>
  <c r="AK34" i="23"/>
  <c r="C36" i="20"/>
  <c r="R35" i="21"/>
  <c r="T35" i="21" s="1"/>
  <c r="C37" i="21"/>
  <c r="D37" i="21" s="1"/>
  <c r="AC34" i="23"/>
  <c r="C39" i="25"/>
  <c r="C37" i="22"/>
  <c r="C36" i="23"/>
  <c r="T35" i="22"/>
  <c r="T34" i="23"/>
  <c r="AT34" i="36" l="1"/>
  <c r="AU34" i="36" s="1"/>
  <c r="AJ34" i="36" s="1"/>
  <c r="AJ34" i="14" s="1"/>
  <c r="B43" i="38"/>
  <c r="B37" i="35"/>
  <c r="AS35" i="36"/>
  <c r="AQ35" i="36"/>
  <c r="AR35" i="36"/>
  <c r="L43" i="35"/>
  <c r="L43" i="14" s="1"/>
  <c r="A50" i="38"/>
  <c r="AP43" i="36" s="1"/>
  <c r="AV35" i="20"/>
  <c r="D36" i="20"/>
  <c r="AU37" i="21"/>
  <c r="AA35" i="14"/>
  <c r="Z36" i="24"/>
  <c r="AA36" i="24"/>
  <c r="Z36" i="23"/>
  <c r="AA36" i="23"/>
  <c r="AA37" i="22"/>
  <c r="Z37" i="22"/>
  <c r="AA39" i="25"/>
  <c r="Z39" i="25"/>
  <c r="AE37" i="22"/>
  <c r="O37" i="22"/>
  <c r="W37" i="22"/>
  <c r="Q37" i="22"/>
  <c r="M37" i="22"/>
  <c r="P37" i="22"/>
  <c r="N37" i="22"/>
  <c r="AE39" i="25"/>
  <c r="AK39" i="25" s="1"/>
  <c r="W39" i="25"/>
  <c r="P39" i="25"/>
  <c r="O39" i="25"/>
  <c r="M39" i="25"/>
  <c r="N39" i="25"/>
  <c r="Q39" i="25"/>
  <c r="AE36" i="24"/>
  <c r="AK36" i="24" s="1"/>
  <c r="W36" i="24"/>
  <c r="P36" i="24"/>
  <c r="O36" i="24"/>
  <c r="M36" i="24"/>
  <c r="Q36" i="24"/>
  <c r="N36" i="24"/>
  <c r="W36" i="23"/>
  <c r="Q36" i="23"/>
  <c r="O36" i="23"/>
  <c r="N36" i="23"/>
  <c r="P36" i="23"/>
  <c r="M36" i="23"/>
  <c r="AE36" i="23"/>
  <c r="AK46" i="35"/>
  <c r="AK47" i="35"/>
  <c r="Y53" i="38"/>
  <c r="N53" i="38"/>
  <c r="AH35" i="36"/>
  <c r="AG35" i="36"/>
  <c r="AG35" i="14" s="1"/>
  <c r="AM32" i="36"/>
  <c r="G36" i="20"/>
  <c r="G36" i="14" s="1"/>
  <c r="F36" i="21"/>
  <c r="F36" i="14" s="1"/>
  <c r="X39" i="25"/>
  <c r="Y39" i="25"/>
  <c r="T38" i="25"/>
  <c r="AC38" i="25"/>
  <c r="W35" i="14"/>
  <c r="M35" i="14"/>
  <c r="X35" i="14"/>
  <c r="T35" i="24"/>
  <c r="Q35" i="14"/>
  <c r="AC35" i="24"/>
  <c r="N35" i="14"/>
  <c r="Y36" i="24"/>
  <c r="X36" i="24"/>
  <c r="O35" i="14"/>
  <c r="Y35" i="14"/>
  <c r="Z35" i="14"/>
  <c r="AE35" i="14"/>
  <c r="P35" i="14"/>
  <c r="C37" i="24"/>
  <c r="W53" i="38"/>
  <c r="O53" i="38"/>
  <c r="Z53" i="38"/>
  <c r="H37" i="21"/>
  <c r="I37" i="21" s="1"/>
  <c r="G37" i="21"/>
  <c r="R35" i="14"/>
  <c r="AH34" i="14"/>
  <c r="AY34" i="14" s="1"/>
  <c r="AK33" i="36"/>
  <c r="AK33" i="14" s="1"/>
  <c r="AK36" i="22"/>
  <c r="T35" i="20"/>
  <c r="R36" i="20"/>
  <c r="T36" i="20" s="1"/>
  <c r="AI35" i="36"/>
  <c r="AI35" i="14" s="1"/>
  <c r="P52" i="38"/>
  <c r="E52" i="38" s="1"/>
  <c r="D51" i="38"/>
  <c r="AK52" i="38"/>
  <c r="AA52" i="38"/>
  <c r="F52" i="38" s="1"/>
  <c r="AH53" i="38"/>
  <c r="C36" i="36"/>
  <c r="AC53" i="38"/>
  <c r="J53" i="38"/>
  <c r="R53" i="38"/>
  <c r="AF53" i="38"/>
  <c r="U53" i="38"/>
  <c r="AG53" i="38"/>
  <c r="AJ53" i="38"/>
  <c r="AI53" i="38"/>
  <c r="T53" i="38"/>
  <c r="AD53" i="38"/>
  <c r="AE53" i="38"/>
  <c r="V53" i="38"/>
  <c r="H53" i="38"/>
  <c r="S53" i="38"/>
  <c r="I53" i="38"/>
  <c r="C54" i="38"/>
  <c r="C48" i="35"/>
  <c r="AF48" i="35" s="1"/>
  <c r="Y36" i="23"/>
  <c r="X36" i="23"/>
  <c r="Y37" i="22"/>
  <c r="X37" i="22"/>
  <c r="AK35" i="23"/>
  <c r="C37" i="20"/>
  <c r="R36" i="21"/>
  <c r="T36" i="21" s="1"/>
  <c r="C38" i="21"/>
  <c r="D38" i="21" s="1"/>
  <c r="AC35" i="23"/>
  <c r="C40" i="25"/>
  <c r="T35" i="23"/>
  <c r="T36" i="22"/>
  <c r="C37" i="23"/>
  <c r="C38" i="22"/>
  <c r="AK34" i="36" l="1"/>
  <c r="AL34" i="36" s="1"/>
  <c r="AT35" i="36"/>
  <c r="AU35" i="36" s="1"/>
  <c r="AJ35" i="36" s="1"/>
  <c r="AJ35" i="14" s="1"/>
  <c r="AS36" i="36"/>
  <c r="AQ36" i="36"/>
  <c r="AR36" i="36"/>
  <c r="B38" i="35"/>
  <c r="B44" i="38"/>
  <c r="L44" i="35"/>
  <c r="L44" i="14" s="1"/>
  <c r="A51" i="38"/>
  <c r="AP44" i="36" s="1"/>
  <c r="AV36" i="20"/>
  <c r="D37" i="20"/>
  <c r="AU38" i="21"/>
  <c r="AA36" i="14"/>
  <c r="Z40" i="25"/>
  <c r="AA40" i="25"/>
  <c r="Z37" i="24"/>
  <c r="AA37" i="24"/>
  <c r="Z38" i="22"/>
  <c r="AA38" i="22"/>
  <c r="Z37" i="23"/>
  <c r="AA37" i="23"/>
  <c r="AE38" i="22"/>
  <c r="Q38" i="22"/>
  <c r="N38" i="22"/>
  <c r="W38" i="22"/>
  <c r="P38" i="22"/>
  <c r="O38" i="22"/>
  <c r="M38" i="22"/>
  <c r="AE37" i="24"/>
  <c r="AK37" i="24" s="1"/>
  <c r="M37" i="24"/>
  <c r="W37" i="24"/>
  <c r="Q37" i="24"/>
  <c r="O37" i="24"/>
  <c r="P37" i="24"/>
  <c r="N37" i="24"/>
  <c r="AE40" i="25"/>
  <c r="AK40" i="25" s="1"/>
  <c r="M40" i="25"/>
  <c r="W40" i="25"/>
  <c r="Q40" i="25"/>
  <c r="O40" i="25"/>
  <c r="P40" i="25"/>
  <c r="N40" i="25"/>
  <c r="AE37" i="23"/>
  <c r="W37" i="23"/>
  <c r="P37" i="23"/>
  <c r="M37" i="23"/>
  <c r="Q37" i="23"/>
  <c r="O37" i="23"/>
  <c r="N37" i="23"/>
  <c r="E36" i="20"/>
  <c r="AF47" i="14"/>
  <c r="AF48" i="14"/>
  <c r="Y54" i="38"/>
  <c r="N54" i="38"/>
  <c r="AH36" i="36"/>
  <c r="AG36" i="36"/>
  <c r="AG36" i="14" s="1"/>
  <c r="F37" i="21"/>
  <c r="F37" i="14" s="1"/>
  <c r="T39" i="25"/>
  <c r="AC39" i="25"/>
  <c r="X40" i="25"/>
  <c r="Y40" i="25"/>
  <c r="O36" i="14"/>
  <c r="M36" i="14"/>
  <c r="AC36" i="24"/>
  <c r="X36" i="14"/>
  <c r="Z36" i="14"/>
  <c r="P36" i="14"/>
  <c r="Q36" i="14"/>
  <c r="X37" i="24"/>
  <c r="Y37" i="24"/>
  <c r="T36" i="24"/>
  <c r="Y36" i="14"/>
  <c r="N36" i="14"/>
  <c r="W36" i="14"/>
  <c r="AE36" i="14"/>
  <c r="C38" i="24"/>
  <c r="G37" i="20"/>
  <c r="G37" i="14" s="1"/>
  <c r="S54" i="38"/>
  <c r="O54" i="38"/>
  <c r="Z54" i="38"/>
  <c r="AL33" i="36"/>
  <c r="AM33" i="36" s="1"/>
  <c r="H38" i="21"/>
  <c r="I38" i="21" s="1"/>
  <c r="G38" i="21"/>
  <c r="R36" i="14"/>
  <c r="AH35" i="14"/>
  <c r="AY35" i="14" s="1"/>
  <c r="AK37" i="22"/>
  <c r="R37" i="20"/>
  <c r="AI36" i="36"/>
  <c r="AI36" i="14" s="1"/>
  <c r="P53" i="38"/>
  <c r="E53" i="38" s="1"/>
  <c r="D53" i="38" s="1"/>
  <c r="D52" i="38"/>
  <c r="T54" i="38"/>
  <c r="AE54" i="38"/>
  <c r="AC54" i="38"/>
  <c r="W54" i="38"/>
  <c r="AA53" i="38"/>
  <c r="F53" i="38" s="1"/>
  <c r="C37" i="36"/>
  <c r="AD54" i="38"/>
  <c r="AI54" i="38"/>
  <c r="AH54" i="38"/>
  <c r="U54" i="38"/>
  <c r="AK53" i="38"/>
  <c r="J54" i="38"/>
  <c r="AF54" i="38"/>
  <c r="V54" i="38"/>
  <c r="AG54" i="38"/>
  <c r="H54" i="38"/>
  <c r="R54" i="38"/>
  <c r="AJ54" i="38"/>
  <c r="I54" i="38"/>
  <c r="C55" i="38"/>
  <c r="C49" i="35"/>
  <c r="AF49" i="35" s="1"/>
  <c r="Y37" i="23"/>
  <c r="X37" i="23"/>
  <c r="X38" i="22"/>
  <c r="Y38" i="22"/>
  <c r="AK36" i="23"/>
  <c r="C38" i="20"/>
  <c r="R37" i="21"/>
  <c r="T37" i="21" s="1"/>
  <c r="C39" i="21"/>
  <c r="D39" i="21" s="1"/>
  <c r="AC36" i="23"/>
  <c r="C41" i="25"/>
  <c r="T37" i="22"/>
  <c r="T36" i="23"/>
  <c r="C39" i="22"/>
  <c r="C38" i="23"/>
  <c r="AK34" i="14" l="1"/>
  <c r="AT36" i="36"/>
  <c r="AU36" i="36" s="1"/>
  <c r="AJ36" i="36" s="1"/>
  <c r="AK36" i="36" s="1"/>
  <c r="AS37" i="36"/>
  <c r="AQ37" i="36"/>
  <c r="AR37" i="36"/>
  <c r="B39" i="35"/>
  <c r="B45" i="38"/>
  <c r="L46" i="35"/>
  <c r="L46" i="14" s="1"/>
  <c r="A53" i="38"/>
  <c r="AP46" i="36" s="1"/>
  <c r="L45" i="35"/>
  <c r="L45" i="14" s="1"/>
  <c r="A52" i="38"/>
  <c r="AP45" i="36" s="1"/>
  <c r="AV37" i="20"/>
  <c r="D38" i="20"/>
  <c r="AU39" i="21"/>
  <c r="AA37" i="14"/>
  <c r="AA38" i="23"/>
  <c r="Z38" i="23"/>
  <c r="Z39" i="22"/>
  <c r="AA39" i="22"/>
  <c r="Z41" i="25"/>
  <c r="AA41" i="25"/>
  <c r="AA38" i="24"/>
  <c r="Z38" i="24"/>
  <c r="AE38" i="23"/>
  <c r="Q38" i="23"/>
  <c r="W38" i="23"/>
  <c r="N38" i="23"/>
  <c r="P38" i="23"/>
  <c r="O38" i="23"/>
  <c r="M38" i="23"/>
  <c r="AE38" i="24"/>
  <c r="AK38" i="24" s="1"/>
  <c r="O38" i="24"/>
  <c r="N38" i="24"/>
  <c r="Q38" i="24"/>
  <c r="M38" i="24"/>
  <c r="W38" i="24"/>
  <c r="P38" i="24"/>
  <c r="AE39" i="22"/>
  <c r="P39" i="22"/>
  <c r="N39" i="22"/>
  <c r="M39" i="22"/>
  <c r="O39" i="22"/>
  <c r="W39" i="22"/>
  <c r="Q39" i="22"/>
  <c r="AE41" i="25"/>
  <c r="AK41" i="25" s="1"/>
  <c r="O41" i="25"/>
  <c r="N41" i="25"/>
  <c r="Q41" i="25"/>
  <c r="W41" i="25"/>
  <c r="M41" i="25"/>
  <c r="P41" i="25"/>
  <c r="AK48" i="35"/>
  <c r="AF49" i="14"/>
  <c r="Y55" i="38"/>
  <c r="N55" i="38"/>
  <c r="AH37" i="36"/>
  <c r="AG37" i="36"/>
  <c r="AG37" i="14" s="1"/>
  <c r="T40" i="25"/>
  <c r="AC40" i="25"/>
  <c r="P37" i="14"/>
  <c r="X41" i="25"/>
  <c r="Y41" i="25"/>
  <c r="F38" i="21"/>
  <c r="F38" i="14" s="1"/>
  <c r="T37" i="24"/>
  <c r="AE37" i="14"/>
  <c r="Y37" i="14"/>
  <c r="O37" i="14"/>
  <c r="Q37" i="14"/>
  <c r="Z37" i="14"/>
  <c r="N37" i="14"/>
  <c r="M37" i="14"/>
  <c r="Y38" i="24"/>
  <c r="X38" i="24"/>
  <c r="AC37" i="24"/>
  <c r="W37" i="14"/>
  <c r="X37" i="14"/>
  <c r="C39" i="24"/>
  <c r="G38" i="20"/>
  <c r="G38" i="14" s="1"/>
  <c r="I55" i="38"/>
  <c r="O55" i="38"/>
  <c r="Z55" i="38"/>
  <c r="AM34" i="36"/>
  <c r="H39" i="21"/>
  <c r="I39" i="21" s="1"/>
  <c r="G39" i="21"/>
  <c r="R37" i="14"/>
  <c r="AH36" i="14"/>
  <c r="AY36" i="14" s="1"/>
  <c r="AK35" i="36"/>
  <c r="AL35" i="36" s="1"/>
  <c r="AK38" i="22"/>
  <c r="T37" i="20"/>
  <c r="R38" i="20"/>
  <c r="AI37" i="36"/>
  <c r="AI37" i="14" s="1"/>
  <c r="P54" i="38"/>
  <c r="E54" i="38" s="1"/>
  <c r="C38" i="36"/>
  <c r="AK54" i="38"/>
  <c r="AE55" i="38"/>
  <c r="AA54" i="38"/>
  <c r="F54" i="38" s="1"/>
  <c r="AD55" i="38"/>
  <c r="R55" i="38"/>
  <c r="H55" i="38"/>
  <c r="AG55" i="38"/>
  <c r="W55" i="38"/>
  <c r="AJ55" i="38"/>
  <c r="J55" i="38"/>
  <c r="S55" i="38"/>
  <c r="AH55" i="38"/>
  <c r="T55" i="38"/>
  <c r="AI55" i="38"/>
  <c r="AF55" i="38"/>
  <c r="U55" i="38"/>
  <c r="AC55" i="38"/>
  <c r="V55" i="38"/>
  <c r="C56" i="38"/>
  <c r="C42" i="25"/>
  <c r="C50" i="35"/>
  <c r="AF50" i="35" s="1"/>
  <c r="Y38" i="23"/>
  <c r="X38" i="23"/>
  <c r="Y39" i="22"/>
  <c r="X39" i="22"/>
  <c r="AK37" i="23"/>
  <c r="C39" i="20"/>
  <c r="R38" i="21"/>
  <c r="T38" i="21" s="1"/>
  <c r="C40" i="21"/>
  <c r="D40" i="21" s="1"/>
  <c r="AC37" i="23"/>
  <c r="T37" i="23"/>
  <c r="T38" i="22"/>
  <c r="C39" i="23"/>
  <c r="C40" i="22"/>
  <c r="AJ36" i="14" l="1"/>
  <c r="B40" i="35"/>
  <c r="B46" i="38"/>
  <c r="AT37" i="36"/>
  <c r="AU37" i="36" s="1"/>
  <c r="AJ37" i="36" s="1"/>
  <c r="AJ37" i="14" s="1"/>
  <c r="AS38" i="36"/>
  <c r="AQ38" i="36"/>
  <c r="AR38" i="36"/>
  <c r="AV38" i="20"/>
  <c r="D39" i="20"/>
  <c r="AU40" i="21"/>
  <c r="AA38" i="14"/>
  <c r="AA39" i="24"/>
  <c r="Z39" i="24"/>
  <c r="Z42" i="25"/>
  <c r="AA42" i="25"/>
  <c r="AA40" i="22"/>
  <c r="Z40" i="22"/>
  <c r="Z39" i="23"/>
  <c r="AA39" i="23"/>
  <c r="AE42" i="25"/>
  <c r="AK42" i="25" s="1"/>
  <c r="Q42" i="25"/>
  <c r="P42" i="25"/>
  <c r="N42" i="25"/>
  <c r="M42" i="25"/>
  <c r="W42" i="25"/>
  <c r="O42" i="25"/>
  <c r="AE40" i="22"/>
  <c r="M40" i="22"/>
  <c r="W40" i="22"/>
  <c r="P40" i="22"/>
  <c r="O40" i="22"/>
  <c r="Q40" i="22"/>
  <c r="N40" i="22"/>
  <c r="AE39" i="24"/>
  <c r="AK39" i="24" s="1"/>
  <c r="Q39" i="24"/>
  <c r="P39" i="24"/>
  <c r="N39" i="24"/>
  <c r="M39" i="24"/>
  <c r="W39" i="24"/>
  <c r="O39" i="24"/>
  <c r="M39" i="23"/>
  <c r="W39" i="23"/>
  <c r="AE39" i="23"/>
  <c r="P39" i="23"/>
  <c r="O39" i="23"/>
  <c r="Q39" i="23"/>
  <c r="N39" i="23"/>
  <c r="AK49" i="35"/>
  <c r="AF50" i="14"/>
  <c r="Y56" i="38"/>
  <c r="N56" i="38"/>
  <c r="P38" i="14"/>
  <c r="AH38" i="36"/>
  <c r="AG38" i="36"/>
  <c r="AG38" i="14" s="1"/>
  <c r="AC41" i="25"/>
  <c r="T41" i="25"/>
  <c r="Y42" i="25"/>
  <c r="X42" i="25"/>
  <c r="O38" i="14"/>
  <c r="W38" i="14"/>
  <c r="M38" i="14"/>
  <c r="Q38" i="14"/>
  <c r="Y39" i="24"/>
  <c r="X39" i="24"/>
  <c r="T38" i="24"/>
  <c r="AC38" i="24"/>
  <c r="Y38" i="14"/>
  <c r="N38" i="14"/>
  <c r="X38" i="14"/>
  <c r="AE38" i="14"/>
  <c r="Z38" i="14"/>
  <c r="F39" i="21"/>
  <c r="F39" i="14" s="1"/>
  <c r="C40" i="24"/>
  <c r="R56" i="38"/>
  <c r="Z56" i="38"/>
  <c r="O56" i="38"/>
  <c r="AM35" i="36"/>
  <c r="AK35" i="14"/>
  <c r="H40" i="21"/>
  <c r="I40" i="21" s="1"/>
  <c r="G40" i="21"/>
  <c r="R38" i="14"/>
  <c r="R39" i="20"/>
  <c r="G39" i="20"/>
  <c r="G39" i="14" s="1"/>
  <c r="AH37" i="14"/>
  <c r="AY37" i="14" s="1"/>
  <c r="AL36" i="36"/>
  <c r="AK36" i="14"/>
  <c r="AK39" i="22"/>
  <c r="T38" i="20"/>
  <c r="AI38" i="36"/>
  <c r="AI38" i="14" s="1"/>
  <c r="P55" i="38"/>
  <c r="E55" i="38" s="1"/>
  <c r="AK55" i="38"/>
  <c r="D54" i="38"/>
  <c r="C39" i="36"/>
  <c r="H56" i="38"/>
  <c r="AG56" i="38"/>
  <c r="AA55" i="38"/>
  <c r="F55" i="38" s="1"/>
  <c r="AI56" i="38"/>
  <c r="AC56" i="38"/>
  <c r="T56" i="38"/>
  <c r="AE56" i="38"/>
  <c r="U56" i="38"/>
  <c r="J56" i="38"/>
  <c r="S56" i="38"/>
  <c r="AH56" i="38"/>
  <c r="AF56" i="38"/>
  <c r="AJ56" i="38"/>
  <c r="AD56" i="38"/>
  <c r="V56" i="38"/>
  <c r="I56" i="38"/>
  <c r="W56" i="38"/>
  <c r="C57" i="38"/>
  <c r="C43" i="25"/>
  <c r="C51" i="35"/>
  <c r="AF51" i="35" s="1"/>
  <c r="X39" i="23"/>
  <c r="Y39" i="23"/>
  <c r="X40" i="22"/>
  <c r="Y40" i="22"/>
  <c r="AK38" i="23"/>
  <c r="R39" i="21"/>
  <c r="T39" i="21" s="1"/>
  <c r="C40" i="20"/>
  <c r="C41" i="21"/>
  <c r="D41" i="21" s="1"/>
  <c r="AC38" i="23"/>
  <c r="T38" i="23"/>
  <c r="T39" i="22"/>
  <c r="C41" i="22"/>
  <c r="C40" i="23"/>
  <c r="AT38" i="36" l="1"/>
  <c r="AU38" i="36" s="1"/>
  <c r="AJ38" i="36" s="1"/>
  <c r="AJ38" i="14" s="1"/>
  <c r="B47" i="38"/>
  <c r="B41" i="35"/>
  <c r="AQ39" i="36"/>
  <c r="AS39" i="36"/>
  <c r="AR39" i="36"/>
  <c r="L47" i="35"/>
  <c r="L47" i="14" s="1"/>
  <c r="A54" i="38"/>
  <c r="AP47" i="36" s="1"/>
  <c r="AV39" i="20"/>
  <c r="D40" i="20"/>
  <c r="AU41" i="21"/>
  <c r="AA39" i="14"/>
  <c r="Z40" i="23"/>
  <c r="AA40" i="23"/>
  <c r="Z40" i="24"/>
  <c r="AA40" i="24"/>
  <c r="AA41" i="22"/>
  <c r="Z41" i="22"/>
  <c r="Z43" i="25"/>
  <c r="AA43" i="25"/>
  <c r="N40" i="23"/>
  <c r="M40" i="23"/>
  <c r="AE40" i="23"/>
  <c r="Q40" i="23"/>
  <c r="W40" i="23"/>
  <c r="O40" i="23"/>
  <c r="P40" i="23"/>
  <c r="AE40" i="24"/>
  <c r="AK40" i="24" s="1"/>
  <c r="W40" i="24"/>
  <c r="P40" i="24"/>
  <c r="O40" i="24"/>
  <c r="M40" i="24"/>
  <c r="N40" i="24"/>
  <c r="Q40" i="24"/>
  <c r="AE41" i="22"/>
  <c r="O41" i="22"/>
  <c r="W41" i="22"/>
  <c r="Q41" i="22"/>
  <c r="P41" i="22"/>
  <c r="N41" i="22"/>
  <c r="M41" i="22"/>
  <c r="AE43" i="25"/>
  <c r="AK43" i="25" s="1"/>
  <c r="W43" i="25"/>
  <c r="P43" i="25"/>
  <c r="O43" i="25"/>
  <c r="M43" i="25"/>
  <c r="Q43" i="25"/>
  <c r="N43" i="25"/>
  <c r="X39" i="14"/>
  <c r="AK50" i="35"/>
  <c r="AF51" i="14"/>
  <c r="Y57" i="38"/>
  <c r="N57" i="38"/>
  <c r="AH39" i="36"/>
  <c r="AG39" i="36"/>
  <c r="AG39" i="14" s="1"/>
  <c r="AC42" i="25"/>
  <c r="Q39" i="14"/>
  <c r="T42" i="25"/>
  <c r="Y43" i="25"/>
  <c r="X43" i="25"/>
  <c r="Z39" i="14"/>
  <c r="M39" i="14"/>
  <c r="F40" i="21"/>
  <c r="F40" i="14" s="1"/>
  <c r="W39" i="14"/>
  <c r="P39" i="14"/>
  <c r="Y39" i="14"/>
  <c r="T39" i="24"/>
  <c r="AC39" i="24"/>
  <c r="O39" i="14"/>
  <c r="X40" i="24"/>
  <c r="Y40" i="24"/>
  <c r="N39" i="14"/>
  <c r="AE39" i="14"/>
  <c r="C41" i="24"/>
  <c r="AM36" i="36"/>
  <c r="U57" i="38"/>
  <c r="Z57" i="38"/>
  <c r="O57" i="38"/>
  <c r="H41" i="21"/>
  <c r="I41" i="21" s="1"/>
  <c r="G41" i="21"/>
  <c r="R39" i="14"/>
  <c r="R40" i="20"/>
  <c r="T40" i="20" s="1"/>
  <c r="G40" i="20"/>
  <c r="G40" i="14" s="1"/>
  <c r="AK37" i="36"/>
  <c r="AL37" i="36" s="1"/>
  <c r="AH38" i="14"/>
  <c r="AY38" i="14" s="1"/>
  <c r="AK40" i="22"/>
  <c r="AI39" i="36"/>
  <c r="AI39" i="14" s="1"/>
  <c r="P56" i="38"/>
  <c r="E56" i="38" s="1"/>
  <c r="AK56" i="38"/>
  <c r="C40" i="36"/>
  <c r="AA56" i="38"/>
  <c r="F56" i="38" s="1"/>
  <c r="J57" i="38"/>
  <c r="D55" i="38"/>
  <c r="AG57" i="38"/>
  <c r="I57" i="38"/>
  <c r="AE57" i="38"/>
  <c r="T57" i="38"/>
  <c r="AI57" i="38"/>
  <c r="S57" i="38"/>
  <c r="H57" i="38"/>
  <c r="V57" i="38"/>
  <c r="AC57" i="38"/>
  <c r="W57" i="38"/>
  <c r="AD57" i="38"/>
  <c r="AH57" i="38"/>
  <c r="R57" i="38"/>
  <c r="AJ57" i="38"/>
  <c r="AF57" i="38"/>
  <c r="C58" i="38"/>
  <c r="C44" i="25"/>
  <c r="C52" i="35"/>
  <c r="AF52" i="35" s="1"/>
  <c r="Y41" i="22"/>
  <c r="X41" i="22"/>
  <c r="Y40" i="23"/>
  <c r="X40" i="23"/>
  <c r="AK39" i="23"/>
  <c r="R40" i="21"/>
  <c r="T40" i="21" s="1"/>
  <c r="C41" i="20"/>
  <c r="T39" i="20"/>
  <c r="C42" i="21"/>
  <c r="D42" i="21" s="1"/>
  <c r="AC39" i="23"/>
  <c r="C41" i="23"/>
  <c r="T40" i="22"/>
  <c r="T39" i="23"/>
  <c r="C42" i="22"/>
  <c r="AC40" i="22"/>
  <c r="AK38" i="36" l="1"/>
  <c r="AL38" i="36" s="1"/>
  <c r="AS40" i="36"/>
  <c r="AQ40" i="36"/>
  <c r="AR40" i="36"/>
  <c r="AT39" i="36"/>
  <c r="AU39" i="36" s="1"/>
  <c r="AJ39" i="36" s="1"/>
  <c r="AJ39" i="14" s="1"/>
  <c r="B48" i="38"/>
  <c r="B42" i="35"/>
  <c r="L48" i="35"/>
  <c r="L48" i="14" s="1"/>
  <c r="A55" i="38"/>
  <c r="AP48" i="36" s="1"/>
  <c r="AV40" i="20"/>
  <c r="D41" i="20"/>
  <c r="AU42" i="21"/>
  <c r="AA40" i="14"/>
  <c r="Z41" i="24"/>
  <c r="AA41" i="24"/>
  <c r="Z42" i="22"/>
  <c r="AA42" i="22"/>
  <c r="Z44" i="25"/>
  <c r="AA44" i="25"/>
  <c r="Z41" i="23"/>
  <c r="AA41" i="23"/>
  <c r="O41" i="23"/>
  <c r="N41" i="23"/>
  <c r="W41" i="23"/>
  <c r="P41" i="23"/>
  <c r="M41" i="23"/>
  <c r="AE41" i="23"/>
  <c r="Q41" i="23"/>
  <c r="AE44" i="25"/>
  <c r="AK44" i="25" s="1"/>
  <c r="M44" i="25"/>
  <c r="W44" i="25"/>
  <c r="Q44" i="25"/>
  <c r="O44" i="25"/>
  <c r="N44" i="25"/>
  <c r="P44" i="25"/>
  <c r="AE42" i="22"/>
  <c r="Q42" i="22"/>
  <c r="N42" i="22"/>
  <c r="O42" i="22"/>
  <c r="M42" i="22"/>
  <c r="W42" i="22"/>
  <c r="P42" i="22"/>
  <c r="AE41" i="24"/>
  <c r="AK41" i="24" s="1"/>
  <c r="M41" i="24"/>
  <c r="W41" i="24"/>
  <c r="Q41" i="24"/>
  <c r="O41" i="24"/>
  <c r="P41" i="24"/>
  <c r="N41" i="24"/>
  <c r="AK51" i="35"/>
  <c r="AF52" i="14"/>
  <c r="N58" i="38"/>
  <c r="Y58" i="38"/>
  <c r="AH40" i="36"/>
  <c r="AG40" i="36"/>
  <c r="AG40" i="14" s="1"/>
  <c r="T43" i="25"/>
  <c r="AC43" i="25"/>
  <c r="O40" i="14"/>
  <c r="Y44" i="25"/>
  <c r="X44" i="25"/>
  <c r="Q40" i="14"/>
  <c r="F41" i="21"/>
  <c r="F41" i="14" s="1"/>
  <c r="W40" i="14"/>
  <c r="X40" i="14"/>
  <c r="N40" i="14"/>
  <c r="P40" i="14"/>
  <c r="AE40" i="14"/>
  <c r="Y40" i="14"/>
  <c r="T40" i="24"/>
  <c r="M40" i="14"/>
  <c r="AC40" i="24"/>
  <c r="Y41" i="24"/>
  <c r="X41" i="24"/>
  <c r="Z40" i="14"/>
  <c r="C42" i="24"/>
  <c r="AM37" i="36"/>
  <c r="S58" i="38"/>
  <c r="Z58" i="38"/>
  <c r="O58" i="38"/>
  <c r="AK37" i="14"/>
  <c r="G42" i="21"/>
  <c r="R40" i="14"/>
  <c r="R41" i="20"/>
  <c r="T41" i="20" s="1"/>
  <c r="G41" i="20"/>
  <c r="G41" i="14" s="1"/>
  <c r="AH39" i="14"/>
  <c r="AY39" i="14" s="1"/>
  <c r="AK41" i="22"/>
  <c r="AI40" i="36"/>
  <c r="AI40" i="14" s="1"/>
  <c r="P57" i="38"/>
  <c r="E57" i="38" s="1"/>
  <c r="AC58" i="38"/>
  <c r="AI58" i="38"/>
  <c r="I58" i="38"/>
  <c r="T58" i="38"/>
  <c r="AK57" i="38"/>
  <c r="H58" i="38"/>
  <c r="C41" i="36"/>
  <c r="D56" i="38"/>
  <c r="AH58" i="38"/>
  <c r="J58" i="38"/>
  <c r="R58" i="38"/>
  <c r="AA57" i="38"/>
  <c r="F57" i="38" s="1"/>
  <c r="AF58" i="38"/>
  <c r="AJ58" i="38"/>
  <c r="W58" i="38"/>
  <c r="AE58" i="38"/>
  <c r="U58" i="38"/>
  <c r="AD58" i="38"/>
  <c r="V58" i="38"/>
  <c r="AG58" i="38"/>
  <c r="C59" i="38"/>
  <c r="C45" i="25"/>
  <c r="C53" i="35"/>
  <c r="AF53" i="35" s="1"/>
  <c r="Y42" i="22"/>
  <c r="X42" i="22"/>
  <c r="Y41" i="23"/>
  <c r="X41" i="23"/>
  <c r="AK40" i="23"/>
  <c r="C42" i="20"/>
  <c r="R41" i="21"/>
  <c r="T41" i="21" s="1"/>
  <c r="C43" i="21"/>
  <c r="D43" i="21" s="1"/>
  <c r="AC40" i="23"/>
  <c r="C42" i="23"/>
  <c r="T41" i="22"/>
  <c r="C43" i="22"/>
  <c r="AC41" i="22"/>
  <c r="T40" i="23"/>
  <c r="AK38" i="14" l="1"/>
  <c r="AT40" i="20"/>
  <c r="AT40" i="36"/>
  <c r="AU40" i="36" s="1"/>
  <c r="AJ40" i="36" s="1"/>
  <c r="AJ40" i="14" s="1"/>
  <c r="B43" i="35"/>
  <c r="B49" i="38"/>
  <c r="AQ41" i="36"/>
  <c r="AS41" i="36"/>
  <c r="AR41" i="36"/>
  <c r="L49" i="35"/>
  <c r="L49" i="14" s="1"/>
  <c r="A56" i="38"/>
  <c r="AP49" i="36" s="1"/>
  <c r="AV41" i="20"/>
  <c r="D42" i="20"/>
  <c r="AU43" i="21"/>
  <c r="AA41" i="14"/>
  <c r="Z42" i="24"/>
  <c r="AA42" i="24"/>
  <c r="Z43" i="22"/>
  <c r="AA43" i="22"/>
  <c r="Z45" i="25"/>
  <c r="AA45" i="25"/>
  <c r="Z42" i="23"/>
  <c r="AA42" i="23"/>
  <c r="AE45" i="25"/>
  <c r="AK45" i="25" s="1"/>
  <c r="O45" i="25"/>
  <c r="N45" i="25"/>
  <c r="Q45" i="25"/>
  <c r="P45" i="25"/>
  <c r="M45" i="25"/>
  <c r="W45" i="25"/>
  <c r="P42" i="23"/>
  <c r="O42" i="23"/>
  <c r="M42" i="23"/>
  <c r="Q42" i="23"/>
  <c r="AE42" i="23"/>
  <c r="N42" i="23"/>
  <c r="W42" i="23"/>
  <c r="AE42" i="24"/>
  <c r="AK42" i="24" s="1"/>
  <c r="O42" i="24"/>
  <c r="N42" i="24"/>
  <c r="Q42" i="24"/>
  <c r="P42" i="24"/>
  <c r="W42" i="24"/>
  <c r="M42" i="24"/>
  <c r="AE43" i="22"/>
  <c r="P43" i="22"/>
  <c r="N43" i="22"/>
  <c r="M43" i="22"/>
  <c r="W43" i="22"/>
  <c r="Q43" i="22"/>
  <c r="O43" i="22"/>
  <c r="AK52" i="35"/>
  <c r="D57" i="38"/>
  <c r="AK53" i="35"/>
  <c r="Y59" i="38"/>
  <c r="N59" i="38"/>
  <c r="P41" i="14"/>
  <c r="W41" i="14"/>
  <c r="AH41" i="36"/>
  <c r="AG41" i="36"/>
  <c r="AG41" i="14" s="1"/>
  <c r="T44" i="25"/>
  <c r="X45" i="25"/>
  <c r="Y45" i="25"/>
  <c r="AC44" i="25"/>
  <c r="X41" i="14"/>
  <c r="N41" i="14"/>
  <c r="AC40" i="14"/>
  <c r="M41" i="14"/>
  <c r="F42" i="21"/>
  <c r="F42" i="14" s="1"/>
  <c r="Y41" i="14"/>
  <c r="Z41" i="14"/>
  <c r="AC41" i="24"/>
  <c r="Q41" i="14"/>
  <c r="Y42" i="24"/>
  <c r="X42" i="24"/>
  <c r="T41" i="24"/>
  <c r="O41" i="14"/>
  <c r="AE41" i="14"/>
  <c r="C43" i="24"/>
  <c r="AM38" i="36"/>
  <c r="W59" i="38"/>
  <c r="O59" i="38"/>
  <c r="Z59" i="38"/>
  <c r="G43" i="21"/>
  <c r="R41" i="14"/>
  <c r="R42" i="20"/>
  <c r="G42" i="20"/>
  <c r="G42" i="14" s="1"/>
  <c r="AK39" i="36"/>
  <c r="AK39" i="14" s="1"/>
  <c r="AH40" i="14"/>
  <c r="AY40" i="14" s="1"/>
  <c r="AK42" i="22"/>
  <c r="U59" i="38"/>
  <c r="AI41" i="36"/>
  <c r="AI41" i="14" s="1"/>
  <c r="P58" i="38"/>
  <c r="E58" i="38" s="1"/>
  <c r="I59" i="38"/>
  <c r="AI59" i="38"/>
  <c r="C42" i="36"/>
  <c r="AJ59" i="38"/>
  <c r="AH59" i="38"/>
  <c r="AG59" i="38"/>
  <c r="AA58" i="38"/>
  <c r="F58" i="38" s="1"/>
  <c r="AE59" i="38"/>
  <c r="AK58" i="38"/>
  <c r="T59" i="38"/>
  <c r="S59" i="38"/>
  <c r="AC59" i="38"/>
  <c r="V59" i="38"/>
  <c r="AF59" i="38"/>
  <c r="J59" i="38"/>
  <c r="R59" i="38"/>
  <c r="AD59" i="38"/>
  <c r="H59" i="38"/>
  <c r="C60" i="38"/>
  <c r="C46" i="25"/>
  <c r="C54" i="35"/>
  <c r="AF54" i="35" s="1"/>
  <c r="Y42" i="23"/>
  <c r="X42" i="23"/>
  <c r="Y43" i="22"/>
  <c r="X43" i="22"/>
  <c r="R42" i="21"/>
  <c r="T42" i="21" s="1"/>
  <c r="AK41" i="23"/>
  <c r="C43" i="20"/>
  <c r="C44" i="21"/>
  <c r="D44" i="21" s="1"/>
  <c r="AC41" i="23"/>
  <c r="T42" i="22"/>
  <c r="C43" i="23"/>
  <c r="AC42" i="22"/>
  <c r="C44" i="22"/>
  <c r="T41" i="23"/>
  <c r="AS42" i="36" l="1"/>
  <c r="AQ42" i="36"/>
  <c r="AR42" i="36"/>
  <c r="B44" i="35"/>
  <c r="B50" i="38"/>
  <c r="AT41" i="36"/>
  <c r="AU41" i="36" s="1"/>
  <c r="AJ41" i="36" s="1"/>
  <c r="L50" i="35"/>
  <c r="L50" i="14" s="1"/>
  <c r="A57" i="38"/>
  <c r="AP50" i="36" s="1"/>
  <c r="AT41" i="20"/>
  <c r="AU41" i="20" s="1"/>
  <c r="AV42" i="20"/>
  <c r="D43" i="20"/>
  <c r="AU44" i="21"/>
  <c r="AA42" i="14"/>
  <c r="Z43" i="23"/>
  <c r="AA43" i="23"/>
  <c r="AA44" i="22"/>
  <c r="Z44" i="22"/>
  <c r="Z46" i="25"/>
  <c r="AA46" i="25"/>
  <c r="AA43" i="24"/>
  <c r="Z43" i="24"/>
  <c r="AE46" i="25"/>
  <c r="AK46" i="25" s="1"/>
  <c r="Q46" i="25"/>
  <c r="P46" i="25"/>
  <c r="N46" i="25"/>
  <c r="M46" i="25"/>
  <c r="O46" i="25"/>
  <c r="W46" i="25"/>
  <c r="AE43" i="24"/>
  <c r="AK43" i="24" s="1"/>
  <c r="Q43" i="24"/>
  <c r="P43" i="24"/>
  <c r="N43" i="24"/>
  <c r="M43" i="24"/>
  <c r="W43" i="24"/>
  <c r="O43" i="24"/>
  <c r="Q43" i="23"/>
  <c r="P43" i="23"/>
  <c r="N43" i="23"/>
  <c r="W43" i="23"/>
  <c r="M43" i="23"/>
  <c r="AE43" i="23"/>
  <c r="O43" i="23"/>
  <c r="AE44" i="22"/>
  <c r="M44" i="22"/>
  <c r="W44" i="22"/>
  <c r="P44" i="22"/>
  <c r="O44" i="22"/>
  <c r="N44" i="22"/>
  <c r="Q44" i="22"/>
  <c r="AF53" i="14"/>
  <c r="AF54" i="14"/>
  <c r="Y60" i="38"/>
  <c r="N60" i="38"/>
  <c r="AH42" i="36"/>
  <c r="AG42" i="36"/>
  <c r="AG42" i="14" s="1"/>
  <c r="Y46" i="25"/>
  <c r="X46" i="25"/>
  <c r="T45" i="25"/>
  <c r="AC45" i="25"/>
  <c r="M42" i="14"/>
  <c r="Q42" i="14"/>
  <c r="AC41" i="14"/>
  <c r="W42" i="14"/>
  <c r="F43" i="21"/>
  <c r="F43" i="14" s="1"/>
  <c r="AE42" i="14"/>
  <c r="Z42" i="14"/>
  <c r="O42" i="14"/>
  <c r="Y42" i="14"/>
  <c r="AC42" i="24"/>
  <c r="X43" i="24"/>
  <c r="Y43" i="24"/>
  <c r="N42" i="14"/>
  <c r="T42" i="24"/>
  <c r="P42" i="14"/>
  <c r="X42" i="14"/>
  <c r="C44" i="24"/>
  <c r="S60" i="38"/>
  <c r="Z60" i="38"/>
  <c r="O60" i="38"/>
  <c r="AL39" i="36"/>
  <c r="AM39" i="36" s="1"/>
  <c r="G44" i="21"/>
  <c r="AK40" i="36"/>
  <c r="AL40" i="36" s="1"/>
  <c r="R42" i="14"/>
  <c r="R43" i="20"/>
  <c r="T43" i="20" s="1"/>
  <c r="G43" i="20"/>
  <c r="G43" i="14" s="1"/>
  <c r="AJ41" i="14"/>
  <c r="AH41" i="14"/>
  <c r="AY41" i="14" s="1"/>
  <c r="AK43" i="22"/>
  <c r="AI42" i="36"/>
  <c r="AI42" i="14" s="1"/>
  <c r="P59" i="38"/>
  <c r="E59" i="38" s="1"/>
  <c r="C43" i="36"/>
  <c r="I60" i="38"/>
  <c r="AK59" i="38"/>
  <c r="D58" i="38"/>
  <c r="AA59" i="38"/>
  <c r="F59" i="38" s="1"/>
  <c r="AH60" i="38"/>
  <c r="J60" i="38"/>
  <c r="U60" i="38"/>
  <c r="AC60" i="38"/>
  <c r="AG60" i="38"/>
  <c r="AD60" i="38"/>
  <c r="W60" i="38"/>
  <c r="T60" i="38"/>
  <c r="R60" i="38"/>
  <c r="H60" i="38"/>
  <c r="AF60" i="38"/>
  <c r="V60" i="38"/>
  <c r="AE60" i="38"/>
  <c r="AJ60" i="38"/>
  <c r="AI60" i="38"/>
  <c r="C61" i="38"/>
  <c r="C47" i="25"/>
  <c r="C55" i="35"/>
  <c r="AF55" i="35" s="1"/>
  <c r="Y44" i="22"/>
  <c r="X44" i="22"/>
  <c r="Y43" i="23"/>
  <c r="X43" i="23"/>
  <c r="AK42" i="23"/>
  <c r="C44" i="20"/>
  <c r="T42" i="20"/>
  <c r="R43" i="21"/>
  <c r="T43" i="21" s="1"/>
  <c r="C45" i="21"/>
  <c r="AC42" i="23"/>
  <c r="C45" i="22"/>
  <c r="T43" i="22"/>
  <c r="C44" i="23"/>
  <c r="AC43" i="22"/>
  <c r="T42" i="23"/>
  <c r="AT42" i="36" l="1"/>
  <c r="AU42" i="36" s="1"/>
  <c r="AJ42" i="36" s="1"/>
  <c r="AJ42" i="14" s="1"/>
  <c r="AS43" i="36"/>
  <c r="AQ43" i="36"/>
  <c r="AR43" i="36"/>
  <c r="B45" i="35"/>
  <c r="B51" i="38"/>
  <c r="L51" i="35"/>
  <c r="A58" i="38"/>
  <c r="AP51" i="36" s="1"/>
  <c r="AT42" i="20"/>
  <c r="AU42" i="20" s="1"/>
  <c r="AV43" i="20"/>
  <c r="D44" i="20"/>
  <c r="D45" i="21"/>
  <c r="AU45" i="21" s="1"/>
  <c r="AA43" i="14"/>
  <c r="Z44" i="24"/>
  <c r="AA44" i="24"/>
  <c r="Z44" i="23"/>
  <c r="AA44" i="23"/>
  <c r="Z47" i="25"/>
  <c r="AA47" i="25"/>
  <c r="AA45" i="22"/>
  <c r="Z45" i="22"/>
  <c r="AE45" i="22"/>
  <c r="O45" i="22"/>
  <c r="W45" i="22"/>
  <c r="Q45" i="22"/>
  <c r="M45" i="22"/>
  <c r="N45" i="22"/>
  <c r="P45" i="22"/>
  <c r="AE47" i="25"/>
  <c r="AK47" i="25" s="1"/>
  <c r="W47" i="25"/>
  <c r="P47" i="25"/>
  <c r="O47" i="25"/>
  <c r="M47" i="25"/>
  <c r="Q47" i="25"/>
  <c r="N47" i="25"/>
  <c r="AE44" i="24"/>
  <c r="AK44" i="24" s="1"/>
  <c r="W44" i="24"/>
  <c r="P44" i="24"/>
  <c r="O44" i="24"/>
  <c r="M44" i="24"/>
  <c r="Q44" i="24"/>
  <c r="N44" i="24"/>
  <c r="W44" i="23"/>
  <c r="Q44" i="23"/>
  <c r="O44" i="23"/>
  <c r="N44" i="23"/>
  <c r="AE44" i="23"/>
  <c r="P44" i="23"/>
  <c r="M44" i="23"/>
  <c r="AK54" i="35"/>
  <c r="AF55" i="14"/>
  <c r="N61" i="38"/>
  <c r="Y61" i="38"/>
  <c r="AH43" i="36"/>
  <c r="AG43" i="36"/>
  <c r="AG43" i="14" s="1"/>
  <c r="AC46" i="25"/>
  <c r="T46" i="25"/>
  <c r="X47" i="25"/>
  <c r="Y47" i="25"/>
  <c r="P43" i="14"/>
  <c r="X43" i="14"/>
  <c r="W43" i="14"/>
  <c r="Y43" i="14"/>
  <c r="O43" i="14"/>
  <c r="N43" i="14"/>
  <c r="AC42" i="14"/>
  <c r="Z43" i="14"/>
  <c r="F44" i="21"/>
  <c r="F44" i="14" s="1"/>
  <c r="M43" i="14"/>
  <c r="AC43" i="24"/>
  <c r="T43" i="24"/>
  <c r="Q43" i="14"/>
  <c r="X44" i="24"/>
  <c r="Y44" i="24"/>
  <c r="AE43" i="14"/>
  <c r="C45" i="24"/>
  <c r="G45" i="21"/>
  <c r="G44" i="20"/>
  <c r="G44" i="14" s="1"/>
  <c r="V61" i="38"/>
  <c r="O61" i="38"/>
  <c r="Z61" i="38"/>
  <c r="AM40" i="36"/>
  <c r="AK40" i="14"/>
  <c r="R43" i="14"/>
  <c r="AK41" i="36"/>
  <c r="AL41" i="36" s="1"/>
  <c r="AH42" i="14"/>
  <c r="AY42" i="14" s="1"/>
  <c r="L51" i="14"/>
  <c r="AK44" i="22"/>
  <c r="C45" i="20"/>
  <c r="R44" i="20"/>
  <c r="AI43" i="36"/>
  <c r="AI43" i="14" s="1"/>
  <c r="P60" i="38"/>
  <c r="E60" i="38" s="1"/>
  <c r="D59" i="38"/>
  <c r="C44" i="36"/>
  <c r="AD61" i="38"/>
  <c r="AK60" i="38"/>
  <c r="AA60" i="38"/>
  <c r="F60" i="38" s="1"/>
  <c r="AE61" i="38"/>
  <c r="T61" i="38"/>
  <c r="AC61" i="38"/>
  <c r="W61" i="38"/>
  <c r="H61" i="38"/>
  <c r="J61" i="38"/>
  <c r="R61" i="38"/>
  <c r="AF61" i="38"/>
  <c r="I61" i="38"/>
  <c r="AG61" i="38"/>
  <c r="U61" i="38"/>
  <c r="AI61" i="38"/>
  <c r="AJ61" i="38"/>
  <c r="S61" i="38"/>
  <c r="AH61" i="38"/>
  <c r="C62" i="38"/>
  <c r="C48" i="25"/>
  <c r="C56" i="35"/>
  <c r="AF56" i="35" s="1"/>
  <c r="Y44" i="23"/>
  <c r="X44" i="23"/>
  <c r="Y45" i="22"/>
  <c r="X45" i="22"/>
  <c r="AK43" i="23"/>
  <c r="R44" i="21"/>
  <c r="T44" i="21" s="1"/>
  <c r="C46" i="21"/>
  <c r="AC43" i="23"/>
  <c r="T44" i="22"/>
  <c r="T43" i="23"/>
  <c r="C46" i="22"/>
  <c r="C45" i="23"/>
  <c r="AC44" i="22"/>
  <c r="B52" i="38" l="1"/>
  <c r="B46" i="35"/>
  <c r="AT43" i="36"/>
  <c r="AU43" i="36" s="1"/>
  <c r="AJ43" i="36" s="1"/>
  <c r="AJ43" i="14" s="1"/>
  <c r="AS44" i="36"/>
  <c r="AQ44" i="36"/>
  <c r="AR44" i="36"/>
  <c r="L52" i="35"/>
  <c r="L52" i="14" s="1"/>
  <c r="A59" i="38"/>
  <c r="AP52" i="36" s="1"/>
  <c r="AT43" i="20"/>
  <c r="AU43" i="20" s="1"/>
  <c r="E45" i="21"/>
  <c r="AS45" i="20" s="1"/>
  <c r="D46" i="21"/>
  <c r="AU46" i="21" s="1"/>
  <c r="AV44" i="20"/>
  <c r="D45" i="20"/>
  <c r="AA44" i="14"/>
  <c r="Z45" i="24"/>
  <c r="AA45" i="24"/>
  <c r="Z48" i="25"/>
  <c r="AA48" i="25"/>
  <c r="Z46" i="22"/>
  <c r="AA46" i="22"/>
  <c r="Z45" i="23"/>
  <c r="AA45" i="23"/>
  <c r="AE48" i="25"/>
  <c r="AK48" i="25" s="1"/>
  <c r="M48" i="25"/>
  <c r="W48" i="25"/>
  <c r="Q48" i="25"/>
  <c r="O48" i="25"/>
  <c r="N48" i="25"/>
  <c r="P48" i="25"/>
  <c r="AE46" i="22"/>
  <c r="Q46" i="22"/>
  <c r="N46" i="22"/>
  <c r="W46" i="22"/>
  <c r="P46" i="22"/>
  <c r="O46" i="22"/>
  <c r="M46" i="22"/>
  <c r="AE45" i="24"/>
  <c r="AK45" i="24" s="1"/>
  <c r="M45" i="24"/>
  <c r="W45" i="24"/>
  <c r="Q45" i="24"/>
  <c r="O45" i="24"/>
  <c r="N45" i="24"/>
  <c r="P45" i="24"/>
  <c r="AE45" i="23"/>
  <c r="W45" i="23"/>
  <c r="P45" i="23"/>
  <c r="O45" i="23"/>
  <c r="M45" i="23"/>
  <c r="Q45" i="23"/>
  <c r="N45" i="23"/>
  <c r="AK55" i="35"/>
  <c r="AF56" i="14"/>
  <c r="Y62" i="38"/>
  <c r="N62" i="38"/>
  <c r="AH44" i="36"/>
  <c r="AG44" i="36"/>
  <c r="AG44" i="14" s="1"/>
  <c r="Q44" i="14"/>
  <c r="T47" i="25"/>
  <c r="AC47" i="25"/>
  <c r="Y48" i="25"/>
  <c r="X48" i="25"/>
  <c r="Y44" i="14"/>
  <c r="M44" i="14"/>
  <c r="AC43" i="14"/>
  <c r="X44" i="14"/>
  <c r="Z44" i="14"/>
  <c r="F45" i="21"/>
  <c r="F45" i="14" s="1"/>
  <c r="AE44" i="14"/>
  <c r="AC44" i="24"/>
  <c r="N44" i="14"/>
  <c r="Y45" i="24"/>
  <c r="X45" i="24"/>
  <c r="O44" i="14"/>
  <c r="P44" i="14"/>
  <c r="T44" i="24"/>
  <c r="W44" i="14"/>
  <c r="C46" i="24"/>
  <c r="G45" i="20"/>
  <c r="G45" i="14" s="1"/>
  <c r="G46" i="21"/>
  <c r="R62" i="38"/>
  <c r="O62" i="38"/>
  <c r="Z62" i="38"/>
  <c r="AM41" i="36"/>
  <c r="R44" i="14"/>
  <c r="AK41" i="14"/>
  <c r="AK42" i="36"/>
  <c r="AL42" i="36" s="1"/>
  <c r="AH43" i="14"/>
  <c r="AY43" i="14" s="1"/>
  <c r="AK45" i="22"/>
  <c r="T44" i="20"/>
  <c r="C46" i="20"/>
  <c r="R45" i="20"/>
  <c r="AI44" i="36"/>
  <c r="AI44" i="14" s="1"/>
  <c r="P61" i="38"/>
  <c r="E61" i="38" s="1"/>
  <c r="C45" i="36"/>
  <c r="D60" i="38"/>
  <c r="AE62" i="38"/>
  <c r="J62" i="38"/>
  <c r="AG62" i="38"/>
  <c r="AH62" i="38"/>
  <c r="AK61" i="38"/>
  <c r="AC62" i="38"/>
  <c r="S62" i="38"/>
  <c r="AJ62" i="38"/>
  <c r="AI62" i="38"/>
  <c r="T62" i="38"/>
  <c r="AD62" i="38"/>
  <c r="W62" i="38"/>
  <c r="AA61" i="38"/>
  <c r="F61" i="38" s="1"/>
  <c r="I62" i="38"/>
  <c r="U62" i="38"/>
  <c r="AF62" i="38"/>
  <c r="V62" i="38"/>
  <c r="H62" i="38"/>
  <c r="C63" i="38"/>
  <c r="C49" i="25"/>
  <c r="C57" i="35"/>
  <c r="AF57" i="35" s="1"/>
  <c r="X46" i="22"/>
  <c r="Y46" i="22"/>
  <c r="Y45" i="23"/>
  <c r="X45" i="23"/>
  <c r="AK44" i="23"/>
  <c r="R45" i="21"/>
  <c r="T45" i="21" s="1"/>
  <c r="C47" i="21"/>
  <c r="AC44" i="23"/>
  <c r="T44" i="23"/>
  <c r="C46" i="23"/>
  <c r="AC45" i="22"/>
  <c r="T45" i="22"/>
  <c r="C47" i="22"/>
  <c r="AT44" i="36" l="1"/>
  <c r="AU44" i="36" s="1"/>
  <c r="AJ44" i="36" s="1"/>
  <c r="AJ44" i="14" s="1"/>
  <c r="AS45" i="36"/>
  <c r="AQ45" i="36"/>
  <c r="AR45" i="36"/>
  <c r="B47" i="35"/>
  <c r="B53" i="38"/>
  <c r="L53" i="35"/>
  <c r="L53" i="14" s="1"/>
  <c r="A60" i="38"/>
  <c r="AP53" i="36" s="1"/>
  <c r="AT44" i="20"/>
  <c r="AU44" i="20" s="1"/>
  <c r="D47" i="21"/>
  <c r="AU47" i="21" s="1"/>
  <c r="AV45" i="20"/>
  <c r="D46" i="20"/>
  <c r="E45" i="25"/>
  <c r="J45" i="25" s="1"/>
  <c r="U45" i="25" s="1"/>
  <c r="AD45" i="25" s="1"/>
  <c r="AL45" i="25" s="1"/>
  <c r="E45" i="22"/>
  <c r="J45" i="22" s="1"/>
  <c r="U45" i="22" s="1"/>
  <c r="AD45" i="22" s="1"/>
  <c r="AL45" i="22" s="1"/>
  <c r="E45" i="24"/>
  <c r="J45" i="24" s="1"/>
  <c r="E45" i="23"/>
  <c r="J45" i="23" s="1"/>
  <c r="AA45" i="14"/>
  <c r="AA46" i="24"/>
  <c r="Z46" i="24"/>
  <c r="Z47" i="22"/>
  <c r="AA47" i="22"/>
  <c r="AA46" i="23"/>
  <c r="Z46" i="23"/>
  <c r="Z49" i="25"/>
  <c r="AA49" i="25"/>
  <c r="AE47" i="22"/>
  <c r="P47" i="22"/>
  <c r="N47" i="22"/>
  <c r="M47" i="22"/>
  <c r="Q47" i="22"/>
  <c r="O47" i="22"/>
  <c r="W47" i="22"/>
  <c r="AE46" i="24"/>
  <c r="AK46" i="24" s="1"/>
  <c r="O46" i="24"/>
  <c r="N46" i="24"/>
  <c r="Q46" i="24"/>
  <c r="P46" i="24"/>
  <c r="M46" i="24"/>
  <c r="W46" i="24"/>
  <c r="AE46" i="23"/>
  <c r="Q46" i="23"/>
  <c r="N46" i="23"/>
  <c r="W46" i="23"/>
  <c r="P46" i="23"/>
  <c r="M46" i="23"/>
  <c r="O46" i="23"/>
  <c r="AE49" i="25"/>
  <c r="AK49" i="25" s="1"/>
  <c r="O49" i="25"/>
  <c r="N49" i="25"/>
  <c r="Q49" i="25"/>
  <c r="W49" i="25"/>
  <c r="P49" i="25"/>
  <c r="M49" i="25"/>
  <c r="AK56" i="35"/>
  <c r="AF57" i="14"/>
  <c r="Y63" i="38"/>
  <c r="N63" i="38"/>
  <c r="AH45" i="36"/>
  <c r="AG45" i="36"/>
  <c r="AG45" i="14" s="1"/>
  <c r="N45" i="14"/>
  <c r="AC48" i="25"/>
  <c r="X49" i="25"/>
  <c r="Y49" i="25"/>
  <c r="T48" i="25"/>
  <c r="O45" i="14"/>
  <c r="AC44" i="14"/>
  <c r="Y45" i="14"/>
  <c r="F46" i="21"/>
  <c r="F46" i="14" s="1"/>
  <c r="Q45" i="14"/>
  <c r="X45" i="14"/>
  <c r="Z45" i="14"/>
  <c r="T45" i="24"/>
  <c r="P45" i="14"/>
  <c r="X46" i="24"/>
  <c r="Y46" i="24"/>
  <c r="AC45" i="24"/>
  <c r="M45" i="14"/>
  <c r="W45" i="14"/>
  <c r="AE45" i="14"/>
  <c r="C47" i="24"/>
  <c r="G47" i="21"/>
  <c r="G46" i="20"/>
  <c r="G46" i="14" s="1"/>
  <c r="AF63" i="38"/>
  <c r="Z63" i="38"/>
  <c r="O63" i="38"/>
  <c r="AM42" i="36"/>
  <c r="AK42" i="14"/>
  <c r="R45" i="14"/>
  <c r="AK43" i="36"/>
  <c r="AL43" i="36" s="1"/>
  <c r="AH44" i="14"/>
  <c r="AY44" i="14" s="1"/>
  <c r="AK46" i="22"/>
  <c r="T45" i="20"/>
  <c r="R46" i="20"/>
  <c r="C47" i="20"/>
  <c r="AI45" i="36"/>
  <c r="AI45" i="14" s="1"/>
  <c r="P62" i="38"/>
  <c r="E62" i="38" s="1"/>
  <c r="C46" i="36"/>
  <c r="AK62" i="38"/>
  <c r="J63" i="38"/>
  <c r="D61" i="38"/>
  <c r="AA62" i="38"/>
  <c r="F62" i="38" s="1"/>
  <c r="R63" i="38"/>
  <c r="AC63" i="38"/>
  <c r="W63" i="38"/>
  <c r="H63" i="38"/>
  <c r="AJ63" i="38"/>
  <c r="I63" i="38"/>
  <c r="T63" i="38"/>
  <c r="AH63" i="38"/>
  <c r="AI63" i="38"/>
  <c r="AD63" i="38"/>
  <c r="AE63" i="38"/>
  <c r="V63" i="38"/>
  <c r="U63" i="38"/>
  <c r="AG63" i="38"/>
  <c r="S63" i="38"/>
  <c r="C64" i="38"/>
  <c r="C50" i="25"/>
  <c r="C58" i="35"/>
  <c r="AF58" i="35" s="1"/>
  <c r="Y47" i="22"/>
  <c r="X47" i="22"/>
  <c r="Y46" i="23"/>
  <c r="X46" i="23"/>
  <c r="AK45" i="23"/>
  <c r="R46" i="21"/>
  <c r="T46" i="21" s="1"/>
  <c r="C48" i="21"/>
  <c r="AC45" i="23"/>
  <c r="T45" i="23"/>
  <c r="C47" i="23"/>
  <c r="AC46" i="22"/>
  <c r="C48" i="22"/>
  <c r="T46" i="22"/>
  <c r="AK44" i="36" l="1"/>
  <c r="AK44" i="14" s="1"/>
  <c r="AT45" i="36"/>
  <c r="AU45" i="36" s="1"/>
  <c r="AJ45" i="36" s="1"/>
  <c r="AK45" i="36" s="1"/>
  <c r="AS46" i="36"/>
  <c r="AQ46" i="36"/>
  <c r="AR46" i="36"/>
  <c r="B48" i="35"/>
  <c r="B54" i="38"/>
  <c r="L54" i="35"/>
  <c r="L54" i="14" s="1"/>
  <c r="A61" i="38"/>
  <c r="AP54" i="36" s="1"/>
  <c r="AT45" i="20"/>
  <c r="AU45" i="20" s="1"/>
  <c r="D48" i="21"/>
  <c r="AU48" i="21" s="1"/>
  <c r="AV46" i="20"/>
  <c r="D47" i="20"/>
  <c r="U45" i="24"/>
  <c r="AD45" i="24" s="1"/>
  <c r="AL45" i="24" s="1"/>
  <c r="U45" i="23"/>
  <c r="AD45" i="23" s="1"/>
  <c r="AA46" i="14"/>
  <c r="AA47" i="24"/>
  <c r="Z47" i="24"/>
  <c r="AA48" i="22"/>
  <c r="Z48" i="22"/>
  <c r="Z47" i="23"/>
  <c r="AA47" i="23"/>
  <c r="Z50" i="25"/>
  <c r="AA50" i="25"/>
  <c r="AE48" i="22"/>
  <c r="M48" i="22"/>
  <c r="W48" i="22"/>
  <c r="P48" i="22"/>
  <c r="O48" i="22"/>
  <c r="Q48" i="22"/>
  <c r="N48" i="22"/>
  <c r="M47" i="23"/>
  <c r="W47" i="23"/>
  <c r="AE47" i="23"/>
  <c r="O47" i="23"/>
  <c r="P47" i="23"/>
  <c r="N47" i="23"/>
  <c r="Q47" i="23"/>
  <c r="AE50" i="25"/>
  <c r="AK50" i="25" s="1"/>
  <c r="Q50" i="25"/>
  <c r="P50" i="25"/>
  <c r="N50" i="25"/>
  <c r="M50" i="25"/>
  <c r="W50" i="25"/>
  <c r="O50" i="25"/>
  <c r="AE47" i="24"/>
  <c r="AK47" i="24" s="1"/>
  <c r="Q47" i="24"/>
  <c r="P47" i="24"/>
  <c r="N47" i="24"/>
  <c r="M47" i="24"/>
  <c r="O47" i="24"/>
  <c r="W47" i="24"/>
  <c r="AK57" i="35"/>
  <c r="AF58" i="14"/>
  <c r="Y64" i="38"/>
  <c r="N64" i="38"/>
  <c r="AH46" i="36"/>
  <c r="AG46" i="36"/>
  <c r="AG46" i="14" s="1"/>
  <c r="AC49" i="25"/>
  <c r="Q46" i="14"/>
  <c r="T49" i="25"/>
  <c r="Y50" i="25"/>
  <c r="X50" i="25"/>
  <c r="P46" i="14"/>
  <c r="O46" i="14"/>
  <c r="AC45" i="14"/>
  <c r="W46" i="14"/>
  <c r="X46" i="14"/>
  <c r="N46" i="14"/>
  <c r="Y46" i="14"/>
  <c r="T46" i="24"/>
  <c r="M46" i="14"/>
  <c r="Z46" i="14"/>
  <c r="AC46" i="24"/>
  <c r="X47" i="24"/>
  <c r="Y47" i="24"/>
  <c r="F47" i="21"/>
  <c r="F47" i="14" s="1"/>
  <c r="AE46" i="14"/>
  <c r="C48" i="24"/>
  <c r="G47" i="20"/>
  <c r="G47" i="14" s="1"/>
  <c r="G48" i="21"/>
  <c r="R64" i="38"/>
  <c r="Z64" i="38"/>
  <c r="O64" i="38"/>
  <c r="AM43" i="36"/>
  <c r="AK43" i="14"/>
  <c r="R46" i="14"/>
  <c r="T46" i="20"/>
  <c r="AH45" i="14"/>
  <c r="AY45" i="14" s="1"/>
  <c r="AK47" i="22"/>
  <c r="R47" i="20"/>
  <c r="C48" i="20"/>
  <c r="AI46" i="36"/>
  <c r="AI46" i="14" s="1"/>
  <c r="P63" i="38"/>
  <c r="E63" i="38" s="1"/>
  <c r="AE64" i="38"/>
  <c r="AK63" i="38"/>
  <c r="C47" i="36"/>
  <c r="J64" i="38"/>
  <c r="S64" i="38"/>
  <c r="D62" i="38"/>
  <c r="AC64" i="38"/>
  <c r="AA63" i="38"/>
  <c r="F63" i="38" s="1"/>
  <c r="AD64" i="38"/>
  <c r="T64" i="38"/>
  <c r="AI64" i="38"/>
  <c r="V64" i="38"/>
  <c r="AF64" i="38"/>
  <c r="I64" i="38"/>
  <c r="W64" i="38"/>
  <c r="AH64" i="38"/>
  <c r="AG64" i="38"/>
  <c r="U64" i="38"/>
  <c r="AJ64" i="38"/>
  <c r="H64" i="38"/>
  <c r="C65" i="38"/>
  <c r="C51" i="25"/>
  <c r="C59" i="35"/>
  <c r="AF59" i="35" s="1"/>
  <c r="X48" i="22"/>
  <c r="Y48" i="22"/>
  <c r="X47" i="23"/>
  <c r="Y47" i="23"/>
  <c r="R47" i="21"/>
  <c r="T47" i="21" s="1"/>
  <c r="AK46" i="23"/>
  <c r="C49" i="21"/>
  <c r="AC46" i="23"/>
  <c r="AC47" i="22"/>
  <c r="T46" i="23"/>
  <c r="C49" i="22"/>
  <c r="T47" i="22"/>
  <c r="C48" i="23"/>
  <c r="AL44" i="36" l="1"/>
  <c r="AM44" i="36" s="1"/>
  <c r="AJ45" i="14"/>
  <c r="AQ47" i="36"/>
  <c r="AS47" i="36"/>
  <c r="AR47" i="36"/>
  <c r="B49" i="35"/>
  <c r="B55" i="38"/>
  <c r="AT46" i="36"/>
  <c r="AU46" i="36" s="1"/>
  <c r="AJ46" i="36" s="1"/>
  <c r="AJ46" i="14" s="1"/>
  <c r="L55" i="35"/>
  <c r="L55" i="14" s="1"/>
  <c r="A62" i="38"/>
  <c r="AP55" i="36" s="1"/>
  <c r="AT46" i="20"/>
  <c r="AU46" i="20" s="1"/>
  <c r="D49" i="21"/>
  <c r="AU49" i="21" s="1"/>
  <c r="AV47" i="20"/>
  <c r="D48" i="20"/>
  <c r="AA47" i="14"/>
  <c r="AA49" i="22"/>
  <c r="Z49" i="22"/>
  <c r="Z48" i="24"/>
  <c r="AA48" i="24"/>
  <c r="AA51" i="25"/>
  <c r="Z51" i="25"/>
  <c r="Z48" i="23"/>
  <c r="AA48" i="23"/>
  <c r="N48" i="23"/>
  <c r="M48" i="23"/>
  <c r="AE48" i="23"/>
  <c r="Q48" i="23"/>
  <c r="P48" i="23"/>
  <c r="O48" i="23"/>
  <c r="W48" i="23"/>
  <c r="AE49" i="22"/>
  <c r="O49" i="22"/>
  <c r="W49" i="22"/>
  <c r="Q49" i="22"/>
  <c r="P49" i="22"/>
  <c r="N49" i="22"/>
  <c r="M49" i="22"/>
  <c r="AE51" i="25"/>
  <c r="AK51" i="25" s="1"/>
  <c r="W51" i="25"/>
  <c r="P51" i="25"/>
  <c r="O51" i="25"/>
  <c r="M51" i="25"/>
  <c r="N51" i="25"/>
  <c r="Q51" i="25"/>
  <c r="AE48" i="24"/>
  <c r="AK48" i="24" s="1"/>
  <c r="W48" i="24"/>
  <c r="P48" i="24"/>
  <c r="O48" i="24"/>
  <c r="M48" i="24"/>
  <c r="Q48" i="24"/>
  <c r="N48" i="24"/>
  <c r="AK58" i="35"/>
  <c r="AK59" i="35"/>
  <c r="Y65" i="38"/>
  <c r="N65" i="38"/>
  <c r="D63" i="38"/>
  <c r="W47" i="14"/>
  <c r="AH47" i="36"/>
  <c r="AG47" i="36"/>
  <c r="AG47" i="14" s="1"/>
  <c r="AC46" i="14"/>
  <c r="O47" i="14"/>
  <c r="Y47" i="14"/>
  <c r="AC50" i="25"/>
  <c r="T50" i="25"/>
  <c r="Y51" i="25"/>
  <c r="X51" i="25"/>
  <c r="Q47" i="14"/>
  <c r="P47" i="14"/>
  <c r="F48" i="21"/>
  <c r="F48" i="14" s="1"/>
  <c r="T47" i="24"/>
  <c r="M47" i="14"/>
  <c r="Z47" i="14"/>
  <c r="X47" i="14"/>
  <c r="AC47" i="24"/>
  <c r="N47" i="14"/>
  <c r="AE47" i="14"/>
  <c r="Y48" i="24"/>
  <c r="X48" i="24"/>
  <c r="C49" i="24"/>
  <c r="G49" i="21"/>
  <c r="G48" i="20"/>
  <c r="G48" i="14" s="1"/>
  <c r="AG65" i="38"/>
  <c r="Z65" i="38"/>
  <c r="O65" i="38"/>
  <c r="R47" i="14"/>
  <c r="AH46" i="14"/>
  <c r="AY46" i="14" s="1"/>
  <c r="AL45" i="36"/>
  <c r="AK45" i="14"/>
  <c r="AK48" i="22"/>
  <c r="R48" i="20"/>
  <c r="T48" i="20" s="1"/>
  <c r="C49" i="20"/>
  <c r="AI47" i="36"/>
  <c r="AI47" i="14" s="1"/>
  <c r="P64" i="38"/>
  <c r="E64" i="38" s="1"/>
  <c r="AK64" i="38"/>
  <c r="C48" i="36"/>
  <c r="AA64" i="38"/>
  <c r="F64" i="38" s="1"/>
  <c r="AI65" i="38"/>
  <c r="T65" i="38"/>
  <c r="J65" i="38"/>
  <c r="V65" i="38"/>
  <c r="H65" i="38"/>
  <c r="AF65" i="38"/>
  <c r="S65" i="38"/>
  <c r="AD65" i="38"/>
  <c r="AH65" i="38"/>
  <c r="W65" i="38"/>
  <c r="I65" i="38"/>
  <c r="AE65" i="38"/>
  <c r="R65" i="38"/>
  <c r="AC65" i="38"/>
  <c r="U65" i="38"/>
  <c r="AJ65" i="38"/>
  <c r="C66" i="38"/>
  <c r="C52" i="25"/>
  <c r="C60" i="35"/>
  <c r="AF60" i="35" s="1"/>
  <c r="Y48" i="23"/>
  <c r="X48" i="23"/>
  <c r="Y49" i="22"/>
  <c r="X49" i="22"/>
  <c r="AK47" i="23"/>
  <c r="T47" i="20"/>
  <c r="R48" i="21"/>
  <c r="T48" i="21" s="1"/>
  <c r="C50" i="21"/>
  <c r="AL45" i="23"/>
  <c r="AC47" i="23"/>
  <c r="AC48" i="22"/>
  <c r="C49" i="23"/>
  <c r="T48" i="22"/>
  <c r="T47" i="23"/>
  <c r="C50" i="22"/>
  <c r="AT47" i="20" l="1"/>
  <c r="AU47" i="20" s="1"/>
  <c r="AT47" i="36"/>
  <c r="AU47" i="36" s="1"/>
  <c r="AJ47" i="36" s="1"/>
  <c r="AK47" i="36" s="1"/>
  <c r="B50" i="35"/>
  <c r="B56" i="38"/>
  <c r="AR48" i="36"/>
  <c r="AS48" i="36"/>
  <c r="AQ48" i="36"/>
  <c r="L56" i="35"/>
  <c r="L56" i="14" s="1"/>
  <c r="A63" i="38"/>
  <c r="AP56" i="36" s="1"/>
  <c r="D50" i="21"/>
  <c r="AU50" i="21" s="1"/>
  <c r="AV48" i="20"/>
  <c r="D49" i="20"/>
  <c r="AA48" i="14"/>
  <c r="Z49" i="24"/>
  <c r="AA49" i="24"/>
  <c r="Z52" i="25"/>
  <c r="AA52" i="25"/>
  <c r="Z49" i="23"/>
  <c r="AA49" i="23"/>
  <c r="Z50" i="22"/>
  <c r="AA50" i="22"/>
  <c r="AE52" i="25"/>
  <c r="AK52" i="25" s="1"/>
  <c r="M52" i="25"/>
  <c r="W52" i="25"/>
  <c r="Q52" i="25"/>
  <c r="O52" i="25"/>
  <c r="N52" i="25"/>
  <c r="P52" i="25"/>
  <c r="AE50" i="22"/>
  <c r="W50" i="22"/>
  <c r="Q50" i="22"/>
  <c r="N50" i="22"/>
  <c r="M50" i="22"/>
  <c r="P50" i="22"/>
  <c r="O50" i="22"/>
  <c r="O49" i="23"/>
  <c r="N49" i="23"/>
  <c r="W49" i="23"/>
  <c r="M49" i="23"/>
  <c r="Q49" i="23"/>
  <c r="AE49" i="23"/>
  <c r="P49" i="23"/>
  <c r="AE49" i="24"/>
  <c r="AK49" i="24" s="1"/>
  <c r="M49" i="24"/>
  <c r="W49" i="24"/>
  <c r="Q49" i="24"/>
  <c r="O49" i="24"/>
  <c r="N49" i="24"/>
  <c r="P49" i="24"/>
  <c r="AF59" i="14"/>
  <c r="AF60" i="14"/>
  <c r="N66" i="38"/>
  <c r="Y66" i="38"/>
  <c r="AH48" i="36"/>
  <c r="AG48" i="36"/>
  <c r="AG48" i="14" s="1"/>
  <c r="T51" i="25"/>
  <c r="AC51" i="25"/>
  <c r="AE48" i="14"/>
  <c r="X52" i="25"/>
  <c r="Y52" i="25"/>
  <c r="O48" i="14"/>
  <c r="AC47" i="14"/>
  <c r="P48" i="14"/>
  <c r="W48" i="14"/>
  <c r="F49" i="21"/>
  <c r="F49" i="14" s="1"/>
  <c r="Q48" i="14"/>
  <c r="X48" i="14"/>
  <c r="Z48" i="14"/>
  <c r="Y48" i="14"/>
  <c r="AC48" i="24"/>
  <c r="T48" i="24"/>
  <c r="N48" i="14"/>
  <c r="X49" i="24"/>
  <c r="Y49" i="24"/>
  <c r="M48" i="14"/>
  <c r="C50" i="24"/>
  <c r="AM45" i="36"/>
  <c r="G50" i="21"/>
  <c r="G49" i="20"/>
  <c r="G49" i="14" s="1"/>
  <c r="T66" i="38"/>
  <c r="O66" i="38"/>
  <c r="Z66" i="38"/>
  <c r="AK46" i="36"/>
  <c r="AL46" i="36" s="1"/>
  <c r="R48" i="14"/>
  <c r="AH47" i="14"/>
  <c r="AY47" i="14" s="1"/>
  <c r="AK49" i="22"/>
  <c r="R49" i="20"/>
  <c r="C50" i="20"/>
  <c r="AI48" i="36"/>
  <c r="AI48" i="14" s="1"/>
  <c r="D64" i="38"/>
  <c r="P65" i="38"/>
  <c r="E65" i="38" s="1"/>
  <c r="R66" i="38"/>
  <c r="AG66" i="38"/>
  <c r="J66" i="38"/>
  <c r="AF66" i="38"/>
  <c r="C49" i="36"/>
  <c r="H66" i="38"/>
  <c r="AI66" i="38"/>
  <c r="W66" i="38"/>
  <c r="AE66" i="38"/>
  <c r="U66" i="38"/>
  <c r="AD66" i="38"/>
  <c r="AC66" i="38"/>
  <c r="V66" i="38"/>
  <c r="AK65" i="38"/>
  <c r="I66" i="38"/>
  <c r="AH66" i="38"/>
  <c r="S66" i="38"/>
  <c r="AA65" i="38"/>
  <c r="F65" i="38" s="1"/>
  <c r="AJ66" i="38"/>
  <c r="C67" i="38"/>
  <c r="C53" i="25"/>
  <c r="C61" i="35"/>
  <c r="AF61" i="35" s="1"/>
  <c r="Y50" i="22"/>
  <c r="X50" i="22"/>
  <c r="Y49" i="23"/>
  <c r="X49" i="23"/>
  <c r="AK48" i="23"/>
  <c r="R49" i="21"/>
  <c r="T49" i="21" s="1"/>
  <c r="C51" i="21"/>
  <c r="AC48" i="23"/>
  <c r="T49" i="22"/>
  <c r="T48" i="23"/>
  <c r="AC49" i="22"/>
  <c r="C50" i="23"/>
  <c r="C51" i="22"/>
  <c r="AJ47" i="14" l="1"/>
  <c r="AT48" i="36"/>
  <c r="AU48" i="36" s="1"/>
  <c r="AJ48" i="36" s="1"/>
  <c r="AK48" i="36" s="1"/>
  <c r="B57" i="38"/>
  <c r="B51" i="35"/>
  <c r="AQ49" i="36"/>
  <c r="AS49" i="36"/>
  <c r="AR49" i="36"/>
  <c r="L57" i="35"/>
  <c r="L57" i="14" s="1"/>
  <c r="A64" i="38"/>
  <c r="AP57" i="36" s="1"/>
  <c r="AT48" i="20"/>
  <c r="AU48" i="20" s="1"/>
  <c r="AV49" i="20"/>
  <c r="D50" i="20"/>
  <c r="D51" i="21"/>
  <c r="AU51" i="21" s="1"/>
  <c r="AA49" i="14"/>
  <c r="AA50" i="24"/>
  <c r="Z50" i="24"/>
  <c r="Z51" i="22"/>
  <c r="AA51" i="22"/>
  <c r="Z50" i="23"/>
  <c r="AA50" i="23"/>
  <c r="Z53" i="25"/>
  <c r="AA53" i="25"/>
  <c r="P50" i="23"/>
  <c r="O50" i="23"/>
  <c r="M50" i="23"/>
  <c r="AE50" i="23"/>
  <c r="Q50" i="23"/>
  <c r="N50" i="23"/>
  <c r="W50" i="23"/>
  <c r="AE53" i="25"/>
  <c r="AK53" i="25" s="1"/>
  <c r="O53" i="25"/>
  <c r="N53" i="25"/>
  <c r="Q53" i="25"/>
  <c r="P53" i="25"/>
  <c r="M53" i="25"/>
  <c r="W53" i="25"/>
  <c r="AE51" i="22"/>
  <c r="Q51" i="22"/>
  <c r="W51" i="22"/>
  <c r="O51" i="22"/>
  <c r="N51" i="22"/>
  <c r="P51" i="22"/>
  <c r="M51" i="22"/>
  <c r="AE50" i="24"/>
  <c r="AK50" i="24" s="1"/>
  <c r="O50" i="24"/>
  <c r="N50" i="24"/>
  <c r="Q50" i="24"/>
  <c r="W50" i="24"/>
  <c r="M50" i="24"/>
  <c r="P50" i="24"/>
  <c r="AK60" i="35"/>
  <c r="AF61" i="14"/>
  <c r="Y67" i="38"/>
  <c r="N67" i="38"/>
  <c r="AH49" i="36"/>
  <c r="AG49" i="36"/>
  <c r="AG49" i="14" s="1"/>
  <c r="P49" i="14"/>
  <c r="AC48" i="14"/>
  <c r="T52" i="25"/>
  <c r="AC52" i="25"/>
  <c r="Y53" i="25"/>
  <c r="X53" i="25"/>
  <c r="X49" i="14"/>
  <c r="M49" i="14"/>
  <c r="Q49" i="14"/>
  <c r="Z49" i="14"/>
  <c r="O49" i="14"/>
  <c r="Y49" i="14"/>
  <c r="W49" i="14"/>
  <c r="F50" i="21"/>
  <c r="F50" i="14" s="1"/>
  <c r="X50" i="24"/>
  <c r="Y50" i="24"/>
  <c r="N49" i="14"/>
  <c r="AC49" i="24"/>
  <c r="T49" i="24"/>
  <c r="AE49" i="14"/>
  <c r="C51" i="24"/>
  <c r="AM46" i="36"/>
  <c r="G50" i="20"/>
  <c r="G50" i="14" s="1"/>
  <c r="G51" i="21"/>
  <c r="R67" i="38"/>
  <c r="Z67" i="38"/>
  <c r="O67" i="38"/>
  <c r="AK46" i="14"/>
  <c r="T49" i="20"/>
  <c r="R49" i="14"/>
  <c r="AH48" i="14"/>
  <c r="AY48" i="14" s="1"/>
  <c r="AL47" i="36"/>
  <c r="AK47" i="14"/>
  <c r="AK50" i="22"/>
  <c r="R50" i="20"/>
  <c r="C51" i="20"/>
  <c r="AI49" i="36"/>
  <c r="AI49" i="14" s="1"/>
  <c r="P66" i="38"/>
  <c r="E66" i="38" s="1"/>
  <c r="AJ67" i="38"/>
  <c r="AI67" i="38"/>
  <c r="AC67" i="38"/>
  <c r="T67" i="38"/>
  <c r="AG67" i="38"/>
  <c r="S67" i="38"/>
  <c r="I67" i="38"/>
  <c r="V67" i="38"/>
  <c r="D65" i="38"/>
  <c r="C50" i="36"/>
  <c r="AH67" i="38"/>
  <c r="AE67" i="38"/>
  <c r="H67" i="38"/>
  <c r="AK66" i="38"/>
  <c r="J67" i="38"/>
  <c r="U67" i="38"/>
  <c r="AF67" i="38"/>
  <c r="AD67" i="38"/>
  <c r="AA66" i="38"/>
  <c r="F66" i="38" s="1"/>
  <c r="W67" i="38"/>
  <c r="C68" i="38"/>
  <c r="C54" i="25"/>
  <c r="C62" i="35"/>
  <c r="AF62" i="35" s="1"/>
  <c r="Y50" i="23"/>
  <c r="X50" i="23"/>
  <c r="Y51" i="22"/>
  <c r="X51" i="22"/>
  <c r="AK49" i="23"/>
  <c r="R50" i="21"/>
  <c r="T50" i="21" s="1"/>
  <c r="C52" i="21"/>
  <c r="AC49" i="23"/>
  <c r="T50" i="22"/>
  <c r="C51" i="23"/>
  <c r="C52" i="22"/>
  <c r="T49" i="23"/>
  <c r="AC50" i="22"/>
  <c r="AJ48" i="14" l="1"/>
  <c r="AQ50" i="36"/>
  <c r="AR50" i="36"/>
  <c r="AS50" i="36"/>
  <c r="AT49" i="36"/>
  <c r="AU49" i="36" s="1"/>
  <c r="AJ49" i="36" s="1"/>
  <c r="AK49" i="36" s="1"/>
  <c r="B52" i="35"/>
  <c r="B58" i="38"/>
  <c r="L58" i="35"/>
  <c r="L58" i="14" s="1"/>
  <c r="A65" i="38"/>
  <c r="AP58" i="36" s="1"/>
  <c r="AT49" i="20"/>
  <c r="AU49" i="20" s="1"/>
  <c r="D52" i="21"/>
  <c r="AU52" i="21" s="1"/>
  <c r="AV50" i="20"/>
  <c r="D51" i="20"/>
  <c r="AA50" i="14"/>
  <c r="Z54" i="25"/>
  <c r="AA54" i="25"/>
  <c r="AA52" i="22"/>
  <c r="Z52" i="22"/>
  <c r="AA51" i="24"/>
  <c r="Z51" i="24"/>
  <c r="Z51" i="23"/>
  <c r="AA51" i="23"/>
  <c r="Q51" i="23"/>
  <c r="P51" i="23"/>
  <c r="N51" i="23"/>
  <c r="W51" i="23"/>
  <c r="AE51" i="23"/>
  <c r="M51" i="23"/>
  <c r="O51" i="23"/>
  <c r="AE54" i="25"/>
  <c r="AK54" i="25" s="1"/>
  <c r="Q54" i="25"/>
  <c r="P54" i="25"/>
  <c r="N54" i="25"/>
  <c r="M54" i="25"/>
  <c r="W54" i="25"/>
  <c r="O54" i="25"/>
  <c r="AE52" i="22"/>
  <c r="N52" i="22"/>
  <c r="P52" i="22"/>
  <c r="W52" i="22"/>
  <c r="Q52" i="22"/>
  <c r="O52" i="22"/>
  <c r="M52" i="22"/>
  <c r="AE51" i="24"/>
  <c r="AK51" i="24" s="1"/>
  <c r="Q51" i="24"/>
  <c r="P51" i="24"/>
  <c r="N51" i="24"/>
  <c r="M51" i="24"/>
  <c r="W51" i="24"/>
  <c r="O51" i="24"/>
  <c r="AK61" i="35"/>
  <c r="AF62" i="14"/>
  <c r="Y68" i="38"/>
  <c r="N68" i="38"/>
  <c r="AH50" i="36"/>
  <c r="AG50" i="36"/>
  <c r="AG50" i="14" s="1"/>
  <c r="O50" i="14"/>
  <c r="F51" i="21"/>
  <c r="F51" i="14" s="1"/>
  <c r="AC49" i="14"/>
  <c r="T53" i="25"/>
  <c r="AC53" i="25"/>
  <c r="X54" i="25"/>
  <c r="Y54" i="25"/>
  <c r="AE50" i="14"/>
  <c r="Q50" i="14"/>
  <c r="Y50" i="14"/>
  <c r="P50" i="14"/>
  <c r="M50" i="14"/>
  <c r="X50" i="14"/>
  <c r="W50" i="14"/>
  <c r="Z50" i="14"/>
  <c r="Y51" i="24"/>
  <c r="X51" i="24"/>
  <c r="T50" i="24"/>
  <c r="AC50" i="24"/>
  <c r="N50" i="14"/>
  <c r="C52" i="24"/>
  <c r="AM47" i="36"/>
  <c r="G51" i="20"/>
  <c r="G51" i="14" s="1"/>
  <c r="G52" i="21"/>
  <c r="R68" i="38"/>
  <c r="Z68" i="38"/>
  <c r="O68" i="38"/>
  <c r="R50" i="14"/>
  <c r="AH49" i="14"/>
  <c r="AY49" i="14" s="1"/>
  <c r="AL48" i="36"/>
  <c r="AK48" i="14"/>
  <c r="AK51" i="22"/>
  <c r="T50" i="20"/>
  <c r="R51" i="20"/>
  <c r="C52" i="20"/>
  <c r="AI50" i="36"/>
  <c r="AI50" i="14" s="1"/>
  <c r="P67" i="38"/>
  <c r="E67" i="38" s="1"/>
  <c r="D66" i="38"/>
  <c r="AI68" i="38"/>
  <c r="AH68" i="38"/>
  <c r="AD68" i="38"/>
  <c r="AK67" i="38"/>
  <c r="C51" i="36"/>
  <c r="AA67" i="38"/>
  <c r="F67" i="38" s="1"/>
  <c r="J68" i="38"/>
  <c r="AC68" i="38"/>
  <c r="AE68" i="38"/>
  <c r="U68" i="38"/>
  <c r="T68" i="38"/>
  <c r="H68" i="38"/>
  <c r="W68" i="38"/>
  <c r="AJ68" i="38"/>
  <c r="I68" i="38"/>
  <c r="V68" i="38"/>
  <c r="AF68" i="38"/>
  <c r="AG68" i="38"/>
  <c r="S68" i="38"/>
  <c r="C69" i="38"/>
  <c r="C55" i="25"/>
  <c r="C63" i="35"/>
  <c r="AF63" i="35" s="1"/>
  <c r="Y51" i="23"/>
  <c r="X51" i="23"/>
  <c r="Y52" i="22"/>
  <c r="X52" i="22"/>
  <c r="AK50" i="23"/>
  <c r="R51" i="21"/>
  <c r="T51" i="21" s="1"/>
  <c r="C53" i="21"/>
  <c r="AC50" i="23"/>
  <c r="T50" i="23"/>
  <c r="AC51" i="22"/>
  <c r="T51" i="22"/>
  <c r="C53" i="22"/>
  <c r="C52" i="23"/>
  <c r="AJ49" i="14" l="1"/>
  <c r="AT50" i="36"/>
  <c r="AU50" i="36" s="1"/>
  <c r="AJ50" i="36" s="1"/>
  <c r="AK50" i="36" s="1"/>
  <c r="B53" i="35"/>
  <c r="B59" i="38"/>
  <c r="AS51" i="36"/>
  <c r="AQ51" i="36"/>
  <c r="AR51" i="36"/>
  <c r="L59" i="35"/>
  <c r="L59" i="14" s="1"/>
  <c r="A66" i="38"/>
  <c r="AP59" i="36" s="1"/>
  <c r="AT50" i="20"/>
  <c r="AU50" i="20" s="1"/>
  <c r="D53" i="21"/>
  <c r="AU53" i="21" s="1"/>
  <c r="AV51" i="20"/>
  <c r="D52" i="20"/>
  <c r="AA51" i="14"/>
  <c r="Z52" i="23"/>
  <c r="AA52" i="23"/>
  <c r="Z52" i="24"/>
  <c r="AA52" i="24"/>
  <c r="AA53" i="22"/>
  <c r="Z53" i="22"/>
  <c r="AA55" i="25"/>
  <c r="Z55" i="25"/>
  <c r="AE55" i="25"/>
  <c r="AK55" i="25" s="1"/>
  <c r="W55" i="25"/>
  <c r="P55" i="25"/>
  <c r="O55" i="25"/>
  <c r="M55" i="25"/>
  <c r="Q55" i="25"/>
  <c r="N55" i="25"/>
  <c r="W52" i="23"/>
  <c r="Q52" i="23"/>
  <c r="O52" i="23"/>
  <c r="AE52" i="23"/>
  <c r="AK52" i="23" s="1"/>
  <c r="N52" i="23"/>
  <c r="M52" i="23"/>
  <c r="P52" i="23"/>
  <c r="AE53" i="22"/>
  <c r="P53" i="22"/>
  <c r="M53" i="22"/>
  <c r="Q53" i="22"/>
  <c r="N53" i="22"/>
  <c r="W53" i="22"/>
  <c r="O53" i="22"/>
  <c r="AE52" i="24"/>
  <c r="AK52" i="24" s="1"/>
  <c r="W52" i="24"/>
  <c r="P52" i="24"/>
  <c r="O52" i="24"/>
  <c r="M52" i="24"/>
  <c r="N52" i="24"/>
  <c r="Q52" i="24"/>
  <c r="AK62" i="35"/>
  <c r="AF63" i="14"/>
  <c r="Y69" i="38"/>
  <c r="N69" i="38"/>
  <c r="AH51" i="36"/>
  <c r="AG51" i="36"/>
  <c r="AG51" i="14" s="1"/>
  <c r="O51" i="14"/>
  <c r="AC54" i="25"/>
  <c r="Y55" i="25"/>
  <c r="X55" i="25"/>
  <c r="T54" i="25"/>
  <c r="W51" i="14"/>
  <c r="M51" i="14"/>
  <c r="X51" i="14"/>
  <c r="F52" i="21"/>
  <c r="F52" i="14" s="1"/>
  <c r="Q51" i="14"/>
  <c r="AC50" i="14"/>
  <c r="P51" i="14"/>
  <c r="T51" i="24"/>
  <c r="AC51" i="24"/>
  <c r="Y52" i="24"/>
  <c r="X52" i="24"/>
  <c r="N51" i="14"/>
  <c r="Y51" i="14"/>
  <c r="Z51" i="14"/>
  <c r="AE51" i="14"/>
  <c r="AM48" i="36"/>
  <c r="C53" i="24"/>
  <c r="G52" i="20"/>
  <c r="G52" i="14" s="1"/>
  <c r="G53" i="21"/>
  <c r="V69" i="38"/>
  <c r="O69" i="38"/>
  <c r="Z69" i="38"/>
  <c r="T51" i="20"/>
  <c r="R51" i="14"/>
  <c r="AH50" i="14"/>
  <c r="AY50" i="14" s="1"/>
  <c r="AL49" i="36"/>
  <c r="AK49" i="14"/>
  <c r="AK52" i="22"/>
  <c r="R52" i="20"/>
  <c r="C53" i="20"/>
  <c r="AI51" i="36"/>
  <c r="AI51" i="14" s="1"/>
  <c r="P68" i="38"/>
  <c r="E68" i="38" s="1"/>
  <c r="AI69" i="38"/>
  <c r="AG69" i="38"/>
  <c r="AH69" i="38"/>
  <c r="AC69" i="38"/>
  <c r="T69" i="38"/>
  <c r="AE69" i="38"/>
  <c r="W69" i="38"/>
  <c r="J69" i="38"/>
  <c r="R69" i="38"/>
  <c r="AD69" i="38"/>
  <c r="H69" i="38"/>
  <c r="U69" i="38"/>
  <c r="AJ69" i="38"/>
  <c r="D67" i="38"/>
  <c r="C52" i="36"/>
  <c r="AK68" i="38"/>
  <c r="AA68" i="38"/>
  <c r="F68" i="38" s="1"/>
  <c r="AF69" i="38"/>
  <c r="I69" i="38"/>
  <c r="S69" i="38"/>
  <c r="C70" i="38"/>
  <c r="C56" i="25"/>
  <c r="C64" i="35"/>
  <c r="AF64" i="35" s="1"/>
  <c r="Y53" i="22"/>
  <c r="X53" i="22"/>
  <c r="Y52" i="23"/>
  <c r="X52" i="23"/>
  <c r="AK51" i="23"/>
  <c r="R52" i="21"/>
  <c r="T52" i="21" s="1"/>
  <c r="C54" i="21"/>
  <c r="AC51" i="23"/>
  <c r="C53" i="23"/>
  <c r="T52" i="22"/>
  <c r="AC52" i="22"/>
  <c r="T51" i="23"/>
  <c r="C54" i="22"/>
  <c r="AJ50" i="14" l="1"/>
  <c r="AT51" i="36"/>
  <c r="AU51" i="36" s="1"/>
  <c r="AJ51" i="36" s="1"/>
  <c r="AJ51" i="14" s="1"/>
  <c r="AS52" i="36"/>
  <c r="AQ52" i="36"/>
  <c r="AR52" i="36"/>
  <c r="B54" i="35"/>
  <c r="B60" i="38"/>
  <c r="L60" i="35"/>
  <c r="A67" i="38"/>
  <c r="AP60" i="36" s="1"/>
  <c r="AT51" i="20"/>
  <c r="AU51" i="20" s="1"/>
  <c r="D54" i="21"/>
  <c r="AU54" i="21" s="1"/>
  <c r="AV52" i="20"/>
  <c r="D53" i="20"/>
  <c r="AA52" i="14"/>
  <c r="Z53" i="24"/>
  <c r="AA53" i="24"/>
  <c r="Z56" i="25"/>
  <c r="AA56" i="25"/>
  <c r="Z54" i="22"/>
  <c r="AA54" i="22"/>
  <c r="Z53" i="23"/>
  <c r="AA53" i="23"/>
  <c r="AE56" i="25"/>
  <c r="AK56" i="25" s="1"/>
  <c r="M56" i="25"/>
  <c r="W56" i="25"/>
  <c r="Q56" i="25"/>
  <c r="O56" i="25"/>
  <c r="P56" i="25"/>
  <c r="N56" i="25"/>
  <c r="AE54" i="22"/>
  <c r="W54" i="22"/>
  <c r="O54" i="22"/>
  <c r="N54" i="22"/>
  <c r="Q54" i="22"/>
  <c r="P54" i="22"/>
  <c r="M54" i="22"/>
  <c r="AE53" i="23"/>
  <c r="W53" i="23"/>
  <c r="P53" i="23"/>
  <c r="O53" i="23"/>
  <c r="N53" i="23"/>
  <c r="Q53" i="23"/>
  <c r="M53" i="23"/>
  <c r="AE53" i="24"/>
  <c r="AK53" i="24" s="1"/>
  <c r="M53" i="24"/>
  <c r="W53" i="24"/>
  <c r="Q53" i="24"/>
  <c r="O53" i="24"/>
  <c r="P53" i="24"/>
  <c r="N53" i="24"/>
  <c r="AK63" i="35"/>
  <c r="AF64" i="14"/>
  <c r="Y70" i="38"/>
  <c r="N70" i="38"/>
  <c r="AH52" i="36"/>
  <c r="AG52" i="36"/>
  <c r="AG52" i="14" s="1"/>
  <c r="AC55" i="25"/>
  <c r="F53" i="21"/>
  <c r="F53" i="14" s="1"/>
  <c r="Z52" i="14"/>
  <c r="M52" i="14"/>
  <c r="Q52" i="14"/>
  <c r="Y56" i="25"/>
  <c r="X56" i="25"/>
  <c r="T55" i="25"/>
  <c r="Y52" i="14"/>
  <c r="N52" i="14"/>
  <c r="X52" i="14"/>
  <c r="O52" i="14"/>
  <c r="AC51" i="14"/>
  <c r="P52" i="14"/>
  <c r="AM49" i="36"/>
  <c r="AC52" i="24"/>
  <c r="X53" i="24"/>
  <c r="Y53" i="24"/>
  <c r="T52" i="24"/>
  <c r="W52" i="14"/>
  <c r="C54" i="24"/>
  <c r="G53" i="20"/>
  <c r="G53" i="14" s="1"/>
  <c r="G54" i="21"/>
  <c r="T70" i="38"/>
  <c r="O70" i="38"/>
  <c r="Z70" i="38"/>
  <c r="AE52" i="14"/>
  <c r="R52" i="14"/>
  <c r="AH51" i="14"/>
  <c r="AY51" i="14" s="1"/>
  <c r="AL50" i="36"/>
  <c r="AK50" i="14"/>
  <c r="L60" i="14"/>
  <c r="AK53" i="22"/>
  <c r="W70" i="38"/>
  <c r="R53" i="20"/>
  <c r="C54" i="20"/>
  <c r="AI52" i="36"/>
  <c r="AI52" i="14" s="1"/>
  <c r="P69" i="38"/>
  <c r="E69" i="38" s="1"/>
  <c r="AI70" i="38"/>
  <c r="AD70" i="38"/>
  <c r="AE70" i="38"/>
  <c r="AC70" i="38"/>
  <c r="U70" i="38"/>
  <c r="AK69" i="38"/>
  <c r="D68" i="38"/>
  <c r="AA69" i="38"/>
  <c r="F69" i="38" s="1"/>
  <c r="C53" i="36"/>
  <c r="AG70" i="38"/>
  <c r="J70" i="38"/>
  <c r="AJ70" i="38"/>
  <c r="V70" i="38"/>
  <c r="AF70" i="38"/>
  <c r="R70" i="38"/>
  <c r="I70" i="38"/>
  <c r="S70" i="38"/>
  <c r="AH70" i="38"/>
  <c r="H70" i="38"/>
  <c r="C71" i="38"/>
  <c r="C57" i="25"/>
  <c r="C65" i="35"/>
  <c r="AF65" i="35" s="1"/>
  <c r="X54" i="22"/>
  <c r="Y54" i="22"/>
  <c r="Y53" i="23"/>
  <c r="X53" i="23"/>
  <c r="R53" i="21"/>
  <c r="T53" i="21" s="1"/>
  <c r="T52" i="20"/>
  <c r="C55" i="21"/>
  <c r="AC52" i="23"/>
  <c r="C54" i="23"/>
  <c r="AC53" i="22"/>
  <c r="C55" i="22"/>
  <c r="T52" i="23"/>
  <c r="T53" i="22"/>
  <c r="AT52" i="20" l="1"/>
  <c r="AU52" i="20" s="1"/>
  <c r="B55" i="35"/>
  <c r="B61" i="38"/>
  <c r="AS53" i="36"/>
  <c r="AQ53" i="36"/>
  <c r="AR53" i="36"/>
  <c r="AT52" i="36"/>
  <c r="AU52" i="36" s="1"/>
  <c r="AJ52" i="36" s="1"/>
  <c r="AJ52" i="14" s="1"/>
  <c r="L61" i="35"/>
  <c r="L61" i="14" s="1"/>
  <c r="A68" i="38"/>
  <c r="AP61" i="36" s="1"/>
  <c r="AV53" i="20"/>
  <c r="D54" i="20"/>
  <c r="D55" i="21"/>
  <c r="AU55" i="21" s="1"/>
  <c r="AA53" i="14"/>
  <c r="AA54" i="24"/>
  <c r="Z54" i="24"/>
  <c r="Z57" i="25"/>
  <c r="AA57" i="25"/>
  <c r="Z55" i="22"/>
  <c r="AA55" i="22"/>
  <c r="AA54" i="23"/>
  <c r="Z54" i="23"/>
  <c r="AE57" i="25"/>
  <c r="AK57" i="25" s="1"/>
  <c r="O57" i="25"/>
  <c r="N57" i="25"/>
  <c r="Q57" i="25"/>
  <c r="W57" i="25"/>
  <c r="M57" i="25"/>
  <c r="P57" i="25"/>
  <c r="AE54" i="23"/>
  <c r="Q54" i="23"/>
  <c r="P54" i="23"/>
  <c r="N54" i="23"/>
  <c r="M54" i="23"/>
  <c r="W54" i="23"/>
  <c r="O54" i="23"/>
  <c r="AE55" i="22"/>
  <c r="Q55" i="22"/>
  <c r="O55" i="22"/>
  <c r="M55" i="22"/>
  <c r="W55" i="22"/>
  <c r="P55" i="22"/>
  <c r="N55" i="22"/>
  <c r="AE54" i="24"/>
  <c r="AK54" i="24" s="1"/>
  <c r="O54" i="24"/>
  <c r="N54" i="24"/>
  <c r="Q54" i="24"/>
  <c r="P54" i="24"/>
  <c r="W54" i="24"/>
  <c r="M54" i="24"/>
  <c r="AK64" i="35"/>
  <c r="AK65" i="35"/>
  <c r="Y71" i="38"/>
  <c r="N71" i="38"/>
  <c r="AH53" i="36"/>
  <c r="AG53" i="36"/>
  <c r="AG53" i="14" s="1"/>
  <c r="O53" i="14"/>
  <c r="AC52" i="14"/>
  <c r="Y57" i="25"/>
  <c r="X57" i="25"/>
  <c r="T56" i="25"/>
  <c r="AC56" i="25"/>
  <c r="AM50" i="36"/>
  <c r="N53" i="14"/>
  <c r="Q53" i="14"/>
  <c r="AC53" i="24"/>
  <c r="Y53" i="14"/>
  <c r="W53" i="14"/>
  <c r="M53" i="14"/>
  <c r="P53" i="14"/>
  <c r="F54" i="21"/>
  <c r="F54" i="14" s="1"/>
  <c r="X53" i="14"/>
  <c r="Y54" i="24"/>
  <c r="X54" i="24"/>
  <c r="Z53" i="14"/>
  <c r="T53" i="24"/>
  <c r="AE53" i="14"/>
  <c r="C55" i="24"/>
  <c r="G54" i="20"/>
  <c r="G54" i="14" s="1"/>
  <c r="G55" i="21"/>
  <c r="AJ71" i="38"/>
  <c r="O71" i="38"/>
  <c r="Z71" i="38"/>
  <c r="AK51" i="36"/>
  <c r="AL51" i="36" s="1"/>
  <c r="R53" i="14"/>
  <c r="AH52" i="14"/>
  <c r="AY52" i="14" s="1"/>
  <c r="AK54" i="22"/>
  <c r="T53" i="20"/>
  <c r="R54" i="20"/>
  <c r="C55" i="20"/>
  <c r="AI53" i="36"/>
  <c r="AI53" i="14" s="1"/>
  <c r="P70" i="38"/>
  <c r="E70" i="38" s="1"/>
  <c r="D69" i="38"/>
  <c r="AI71" i="38"/>
  <c r="H71" i="38"/>
  <c r="U71" i="38"/>
  <c r="AK70" i="38"/>
  <c r="T71" i="38"/>
  <c r="AG71" i="38"/>
  <c r="AA70" i="38"/>
  <c r="F70" i="38" s="1"/>
  <c r="C54" i="36"/>
  <c r="AE71" i="38"/>
  <c r="AH71" i="38"/>
  <c r="S71" i="38"/>
  <c r="J71" i="38"/>
  <c r="W71" i="38"/>
  <c r="I71" i="38"/>
  <c r="R71" i="38"/>
  <c r="AC71" i="38"/>
  <c r="AF71" i="38"/>
  <c r="V71" i="38"/>
  <c r="AD71" i="38"/>
  <c r="C72" i="38"/>
  <c r="C58" i="25"/>
  <c r="C66" i="35"/>
  <c r="AF66" i="35" s="1"/>
  <c r="Y55" i="22"/>
  <c r="X55" i="22"/>
  <c r="Y54" i="23"/>
  <c r="X54" i="23"/>
  <c r="AK53" i="23"/>
  <c r="R54" i="21"/>
  <c r="T54" i="21" s="1"/>
  <c r="C56" i="21"/>
  <c r="AC53" i="23"/>
  <c r="C55" i="23"/>
  <c r="T54" i="22"/>
  <c r="AC54" i="22"/>
  <c r="C56" i="22"/>
  <c r="T53" i="23"/>
  <c r="AT53" i="36" l="1"/>
  <c r="AU53" i="36" s="1"/>
  <c r="AJ53" i="36" s="1"/>
  <c r="AK53" i="36" s="1"/>
  <c r="B56" i="35"/>
  <c r="B62" i="38"/>
  <c r="AS54" i="36"/>
  <c r="AQ54" i="36"/>
  <c r="AR54" i="36"/>
  <c r="L62" i="35"/>
  <c r="A69" i="38"/>
  <c r="AP62" i="36" s="1"/>
  <c r="AT53" i="20"/>
  <c r="AU53" i="20" s="1"/>
  <c r="D56" i="21"/>
  <c r="AU56" i="21" s="1"/>
  <c r="AV54" i="20"/>
  <c r="D55" i="20"/>
  <c r="AA54" i="14"/>
  <c r="AA55" i="24"/>
  <c r="Z55" i="24"/>
  <c r="Z56" i="22"/>
  <c r="AA56" i="22"/>
  <c r="Z58" i="25"/>
  <c r="AA58" i="25"/>
  <c r="Z55" i="23"/>
  <c r="AA55" i="23"/>
  <c r="AE54" i="14"/>
  <c r="M55" i="23"/>
  <c r="W55" i="23"/>
  <c r="O55" i="23"/>
  <c r="AE55" i="23"/>
  <c r="Q55" i="23"/>
  <c r="P55" i="23"/>
  <c r="N55" i="23"/>
  <c r="AE58" i="25"/>
  <c r="AK58" i="25" s="1"/>
  <c r="Q58" i="25"/>
  <c r="P58" i="25"/>
  <c r="N58" i="25"/>
  <c r="M58" i="25"/>
  <c r="O58" i="25"/>
  <c r="W58" i="25"/>
  <c r="AE56" i="22"/>
  <c r="N56" i="22"/>
  <c r="M56" i="22"/>
  <c r="Q56" i="22"/>
  <c r="P56" i="22"/>
  <c r="O56" i="22"/>
  <c r="W56" i="22"/>
  <c r="AE55" i="24"/>
  <c r="AK55" i="24" s="1"/>
  <c r="Q55" i="24"/>
  <c r="P55" i="24"/>
  <c r="N55" i="24"/>
  <c r="M55" i="24"/>
  <c r="W55" i="24"/>
  <c r="O55" i="24"/>
  <c r="AF65" i="14"/>
  <c r="AK66" i="35"/>
  <c r="Y72" i="38"/>
  <c r="N72" i="38"/>
  <c r="AH54" i="36"/>
  <c r="AG54" i="36"/>
  <c r="AG54" i="14" s="1"/>
  <c r="T57" i="25"/>
  <c r="AC53" i="14"/>
  <c r="Q54" i="14"/>
  <c r="P54" i="14"/>
  <c r="O54" i="14"/>
  <c r="AM51" i="36"/>
  <c r="Y58" i="25"/>
  <c r="X58" i="25"/>
  <c r="AC57" i="25"/>
  <c r="Y54" i="14"/>
  <c r="W54" i="14"/>
  <c r="F55" i="21"/>
  <c r="F55" i="14" s="1"/>
  <c r="X54" i="14"/>
  <c r="Z54" i="14"/>
  <c r="T54" i="24"/>
  <c r="Y55" i="24"/>
  <c r="X55" i="24"/>
  <c r="AC54" i="24"/>
  <c r="M54" i="14"/>
  <c r="N54" i="14"/>
  <c r="C56" i="24"/>
  <c r="G56" i="21"/>
  <c r="G55" i="20"/>
  <c r="G55" i="14" s="1"/>
  <c r="U72" i="38"/>
  <c r="Z72" i="38"/>
  <c r="O72" i="38"/>
  <c r="AK51" i="14"/>
  <c r="AK52" i="36"/>
  <c r="AK52" i="14" s="1"/>
  <c r="R54" i="14"/>
  <c r="T54" i="20"/>
  <c r="AH53" i="14"/>
  <c r="AY53" i="14" s="1"/>
  <c r="L62" i="14"/>
  <c r="AK55" i="22"/>
  <c r="R55" i="20"/>
  <c r="C56" i="20"/>
  <c r="AI54" i="36"/>
  <c r="AI54" i="14" s="1"/>
  <c r="D70" i="38"/>
  <c r="P71" i="38"/>
  <c r="E71" i="38" s="1"/>
  <c r="AI72" i="38"/>
  <c r="J72" i="38"/>
  <c r="AH72" i="38"/>
  <c r="T72" i="38"/>
  <c r="AK71" i="38"/>
  <c r="S72" i="38"/>
  <c r="C55" i="36"/>
  <c r="AA71" i="38"/>
  <c r="F71" i="38" s="1"/>
  <c r="AC72" i="38"/>
  <c r="AE72" i="38"/>
  <c r="R72" i="38"/>
  <c r="H72" i="38"/>
  <c r="AG72" i="38"/>
  <c r="V72" i="38"/>
  <c r="AD72" i="38"/>
  <c r="AF72" i="38"/>
  <c r="W72" i="38"/>
  <c r="I72" i="38"/>
  <c r="AJ72" i="38"/>
  <c r="C73" i="38"/>
  <c r="C59" i="25"/>
  <c r="C67" i="35"/>
  <c r="AF67" i="35" s="1"/>
  <c r="X55" i="23"/>
  <c r="Y55" i="23"/>
  <c r="X56" i="22"/>
  <c r="Y56" i="22"/>
  <c r="AK54" i="23"/>
  <c r="R55" i="21"/>
  <c r="T55" i="21" s="1"/>
  <c r="C57" i="21"/>
  <c r="AC54" i="23"/>
  <c r="AC55" i="22"/>
  <c r="T54" i="23"/>
  <c r="C57" i="22"/>
  <c r="T55" i="22"/>
  <c r="C56" i="23"/>
  <c r="AJ53" i="14" l="1"/>
  <c r="AT54" i="36"/>
  <c r="AU54" i="36" s="1"/>
  <c r="AJ54" i="36" s="1"/>
  <c r="AJ54" i="14" s="1"/>
  <c r="AR55" i="36"/>
  <c r="AS55" i="36"/>
  <c r="AQ55" i="36"/>
  <c r="B57" i="35"/>
  <c r="B63" i="38"/>
  <c r="L63" i="35"/>
  <c r="L63" i="14" s="1"/>
  <c r="A70" i="38"/>
  <c r="AP63" i="36" s="1"/>
  <c r="AT54" i="20"/>
  <c r="AU54" i="20" s="1"/>
  <c r="D57" i="21"/>
  <c r="AU57" i="21" s="1"/>
  <c r="AV55" i="20"/>
  <c r="D56" i="20"/>
  <c r="AA55" i="14"/>
  <c r="Z56" i="24"/>
  <c r="AA56" i="24"/>
  <c r="Z59" i="25"/>
  <c r="AA59" i="25"/>
  <c r="AA57" i="22"/>
  <c r="Z57" i="22"/>
  <c r="Z56" i="23"/>
  <c r="AA56" i="23"/>
  <c r="AE59" i="25"/>
  <c r="AK59" i="25" s="1"/>
  <c r="W59" i="25"/>
  <c r="P59" i="25"/>
  <c r="O59" i="25"/>
  <c r="M59" i="25"/>
  <c r="N59" i="25"/>
  <c r="Q59" i="25"/>
  <c r="N56" i="23"/>
  <c r="M56" i="23"/>
  <c r="AE56" i="23"/>
  <c r="P56" i="23"/>
  <c r="W56" i="23"/>
  <c r="Q56" i="23"/>
  <c r="O56" i="23"/>
  <c r="AE57" i="22"/>
  <c r="P57" i="22"/>
  <c r="M57" i="22"/>
  <c r="W57" i="22"/>
  <c r="N57" i="22"/>
  <c r="O57" i="22"/>
  <c r="Q57" i="22"/>
  <c r="AE56" i="24"/>
  <c r="AK56" i="24" s="1"/>
  <c r="W56" i="24"/>
  <c r="P56" i="24"/>
  <c r="O56" i="24"/>
  <c r="M56" i="24"/>
  <c r="N56" i="24"/>
  <c r="Q56" i="24"/>
  <c r="P55" i="14"/>
  <c r="AF66" i="14"/>
  <c r="AK67" i="35"/>
  <c r="Y73" i="38"/>
  <c r="N73" i="38"/>
  <c r="AH55" i="36"/>
  <c r="AG55" i="36"/>
  <c r="AG55" i="14" s="1"/>
  <c r="T58" i="25"/>
  <c r="X59" i="25"/>
  <c r="Y59" i="25"/>
  <c r="AC58" i="25"/>
  <c r="O55" i="14"/>
  <c r="F56" i="21"/>
  <c r="F56" i="14" s="1"/>
  <c r="AC54" i="14"/>
  <c r="N55" i="14"/>
  <c r="Z55" i="14"/>
  <c r="X55" i="14"/>
  <c r="Y55" i="14"/>
  <c r="Q55" i="14"/>
  <c r="AC55" i="24"/>
  <c r="W55" i="14"/>
  <c r="T55" i="24"/>
  <c r="M55" i="14"/>
  <c r="X56" i="24"/>
  <c r="Y56" i="24"/>
  <c r="AE55" i="14"/>
  <c r="C57" i="24"/>
  <c r="G57" i="21"/>
  <c r="G56" i="20"/>
  <c r="G56" i="14" s="1"/>
  <c r="T73" i="38"/>
  <c r="Z73" i="38"/>
  <c r="O73" i="38"/>
  <c r="AL52" i="36"/>
  <c r="AM52" i="36" s="1"/>
  <c r="T55" i="20"/>
  <c r="R55" i="14"/>
  <c r="AH54" i="14"/>
  <c r="AY54" i="14" s="1"/>
  <c r="AL53" i="36"/>
  <c r="AK53" i="14"/>
  <c r="AK56" i="22"/>
  <c r="R56" i="20"/>
  <c r="C57" i="20"/>
  <c r="AI55" i="36"/>
  <c r="AI55" i="14" s="1"/>
  <c r="P72" i="38"/>
  <c r="E72" i="38" s="1"/>
  <c r="D71" i="38"/>
  <c r="AA72" i="38"/>
  <c r="F72" i="38" s="1"/>
  <c r="J73" i="38"/>
  <c r="AD73" i="38"/>
  <c r="AI73" i="38"/>
  <c r="C56" i="36"/>
  <c r="AE73" i="38"/>
  <c r="R73" i="38"/>
  <c r="H73" i="38"/>
  <c r="U73" i="38"/>
  <c r="AK72" i="38"/>
  <c r="AH73" i="38"/>
  <c r="AC73" i="38"/>
  <c r="AG73" i="38"/>
  <c r="V73" i="38"/>
  <c r="AJ73" i="38"/>
  <c r="AF73" i="38"/>
  <c r="W73" i="38"/>
  <c r="S73" i="38"/>
  <c r="I73" i="38"/>
  <c r="C74" i="38"/>
  <c r="C60" i="25"/>
  <c r="C68" i="35"/>
  <c r="AF68" i="35" s="1"/>
  <c r="X56" i="23"/>
  <c r="Y56" i="23"/>
  <c r="Y57" i="22"/>
  <c r="X57" i="22"/>
  <c r="AK55" i="23"/>
  <c r="R56" i="21"/>
  <c r="T56" i="21" s="1"/>
  <c r="C58" i="21"/>
  <c r="AC55" i="23"/>
  <c r="T55" i="23"/>
  <c r="AC56" i="22"/>
  <c r="C57" i="23"/>
  <c r="T56" i="22"/>
  <c r="C58" i="22"/>
  <c r="AT55" i="36" l="1"/>
  <c r="AU55" i="36" s="1"/>
  <c r="AJ55" i="36" s="1"/>
  <c r="AJ55" i="14" s="1"/>
  <c r="AR56" i="36"/>
  <c r="AS56" i="36"/>
  <c r="AQ56" i="36"/>
  <c r="B58" i="35"/>
  <c r="B64" i="38"/>
  <c r="L64" i="35"/>
  <c r="L64" i="14" s="1"/>
  <c r="A71" i="38"/>
  <c r="AP64" i="36" s="1"/>
  <c r="AT55" i="20"/>
  <c r="AU55" i="20" s="1"/>
  <c r="D58" i="21"/>
  <c r="AU58" i="21" s="1"/>
  <c r="AV56" i="20"/>
  <c r="D57" i="20"/>
  <c r="AA56" i="14"/>
  <c r="Z57" i="24"/>
  <c r="AA57" i="24"/>
  <c r="Z58" i="22"/>
  <c r="AA58" i="22"/>
  <c r="Z60" i="25"/>
  <c r="AA60" i="25"/>
  <c r="Z57" i="23"/>
  <c r="AA57" i="23"/>
  <c r="AE60" i="25"/>
  <c r="AK60" i="25" s="1"/>
  <c r="M60" i="25"/>
  <c r="W60" i="25"/>
  <c r="Q60" i="25"/>
  <c r="O60" i="25"/>
  <c r="P60" i="25"/>
  <c r="N60" i="25"/>
  <c r="AE58" i="22"/>
  <c r="W58" i="22"/>
  <c r="O58" i="22"/>
  <c r="P58" i="22"/>
  <c r="N58" i="22"/>
  <c r="Q58" i="22"/>
  <c r="M58" i="22"/>
  <c r="O57" i="23"/>
  <c r="N57" i="23"/>
  <c r="M57" i="23"/>
  <c r="W57" i="23"/>
  <c r="Q57" i="23"/>
  <c r="AE57" i="23"/>
  <c r="P57" i="23"/>
  <c r="AE57" i="24"/>
  <c r="AK57" i="24" s="1"/>
  <c r="M57" i="24"/>
  <c r="W57" i="24"/>
  <c r="Q57" i="24"/>
  <c r="O57" i="24"/>
  <c r="P57" i="24"/>
  <c r="N57" i="24"/>
  <c r="AF68" i="14"/>
  <c r="AF67" i="14"/>
  <c r="N74" i="38"/>
  <c r="Y74" i="38"/>
  <c r="AH56" i="36"/>
  <c r="AG56" i="36"/>
  <c r="AG56" i="14" s="1"/>
  <c r="T59" i="25"/>
  <c r="AC59" i="25"/>
  <c r="X60" i="25"/>
  <c r="Y60" i="25"/>
  <c r="M56" i="14"/>
  <c r="AE56" i="14"/>
  <c r="W56" i="14"/>
  <c r="P56" i="14"/>
  <c r="N56" i="14"/>
  <c r="Y56" i="14"/>
  <c r="Q56" i="14"/>
  <c r="AC56" i="24"/>
  <c r="AC55" i="14"/>
  <c r="O56" i="14"/>
  <c r="T56" i="24"/>
  <c r="Y57" i="24"/>
  <c r="X57" i="24"/>
  <c r="X56" i="14"/>
  <c r="Z56" i="14"/>
  <c r="F57" i="21"/>
  <c r="F57" i="14" s="1"/>
  <c r="C58" i="24"/>
  <c r="G57" i="20"/>
  <c r="G57" i="14" s="1"/>
  <c r="G58" i="21"/>
  <c r="R74" i="38"/>
  <c r="O74" i="38"/>
  <c r="Z74" i="38"/>
  <c r="AM53" i="36"/>
  <c r="R56" i="14"/>
  <c r="AK54" i="36"/>
  <c r="AL54" i="36" s="1"/>
  <c r="AH55" i="14"/>
  <c r="AY55" i="14" s="1"/>
  <c r="AK57" i="22"/>
  <c r="R57" i="20"/>
  <c r="C58" i="20"/>
  <c r="D72" i="38"/>
  <c r="AI56" i="36"/>
  <c r="AI56" i="14" s="1"/>
  <c r="P73" i="38"/>
  <c r="E73" i="38" s="1"/>
  <c r="AA73" i="38"/>
  <c r="F73" i="38" s="1"/>
  <c r="AH74" i="38"/>
  <c r="H74" i="38"/>
  <c r="AD74" i="38"/>
  <c r="AK73" i="38"/>
  <c r="AI74" i="38"/>
  <c r="AF74" i="38"/>
  <c r="J74" i="38"/>
  <c r="W74" i="38"/>
  <c r="C57" i="36"/>
  <c r="AJ74" i="38"/>
  <c r="AE74" i="38"/>
  <c r="V74" i="38"/>
  <c r="AC74" i="38"/>
  <c r="U74" i="38"/>
  <c r="AG74" i="38"/>
  <c r="T74" i="38"/>
  <c r="S74" i="38"/>
  <c r="I74" i="38"/>
  <c r="C75" i="38"/>
  <c r="C61" i="25"/>
  <c r="C69" i="35"/>
  <c r="AF69" i="35" s="1"/>
  <c r="Y58" i="22"/>
  <c r="X58" i="22"/>
  <c r="Y57" i="23"/>
  <c r="X57" i="23"/>
  <c r="AK56" i="23"/>
  <c r="R57" i="21"/>
  <c r="T57" i="21" s="1"/>
  <c r="T56" i="20"/>
  <c r="C59" i="21"/>
  <c r="AC56" i="23"/>
  <c r="T57" i="22"/>
  <c r="C58" i="23"/>
  <c r="C59" i="22"/>
  <c r="AC57" i="22"/>
  <c r="T56" i="23"/>
  <c r="AK55" i="36" l="1"/>
  <c r="AK55" i="14" s="1"/>
  <c r="B59" i="35"/>
  <c r="B65" i="38"/>
  <c r="AT56" i="36"/>
  <c r="AU56" i="36" s="1"/>
  <c r="AJ56" i="36" s="1"/>
  <c r="AK56" i="36" s="1"/>
  <c r="AS57" i="36"/>
  <c r="AQ57" i="36"/>
  <c r="AR57" i="36"/>
  <c r="L65" i="35"/>
  <c r="L65" i="14" s="1"/>
  <c r="A72" i="38"/>
  <c r="AP65" i="36" s="1"/>
  <c r="AT56" i="20"/>
  <c r="AU56" i="20" s="1"/>
  <c r="D59" i="21"/>
  <c r="AU59" i="21" s="1"/>
  <c r="AV57" i="20"/>
  <c r="D58" i="20"/>
  <c r="AA57" i="14"/>
  <c r="Z58" i="24"/>
  <c r="AA58" i="24"/>
  <c r="Z61" i="25"/>
  <c r="AA61" i="25"/>
  <c r="Z59" i="22"/>
  <c r="AA59" i="22"/>
  <c r="AA58" i="23"/>
  <c r="Z58" i="23"/>
  <c r="P58" i="23"/>
  <c r="O58" i="23"/>
  <c r="M58" i="23"/>
  <c r="AE58" i="23"/>
  <c r="N58" i="23"/>
  <c r="Q58" i="23"/>
  <c r="W58" i="23"/>
  <c r="AE61" i="25"/>
  <c r="AK61" i="25" s="1"/>
  <c r="O61" i="25"/>
  <c r="N61" i="25"/>
  <c r="Q61" i="25"/>
  <c r="W61" i="25"/>
  <c r="P61" i="25"/>
  <c r="M61" i="25"/>
  <c r="AE59" i="22"/>
  <c r="Q59" i="22"/>
  <c r="P59" i="22"/>
  <c r="M59" i="22"/>
  <c r="W59" i="22"/>
  <c r="O59" i="22"/>
  <c r="N59" i="22"/>
  <c r="AE58" i="24"/>
  <c r="AK58" i="24" s="1"/>
  <c r="O58" i="24"/>
  <c r="N58" i="24"/>
  <c r="Q58" i="24"/>
  <c r="W58" i="24"/>
  <c r="M58" i="24"/>
  <c r="P58" i="24"/>
  <c r="P57" i="14"/>
  <c r="W57" i="14"/>
  <c r="AK68" i="35"/>
  <c r="AF69" i="14"/>
  <c r="N75" i="38"/>
  <c r="Y75" i="38"/>
  <c r="D73" i="38"/>
  <c r="AH57" i="36"/>
  <c r="AG57" i="36"/>
  <c r="AG57" i="14" s="1"/>
  <c r="X61" i="25"/>
  <c r="Y61" i="25"/>
  <c r="T60" i="25"/>
  <c r="AC60" i="25"/>
  <c r="N57" i="14"/>
  <c r="AC56" i="14"/>
  <c r="AC57" i="24"/>
  <c r="Y57" i="14"/>
  <c r="M57" i="14"/>
  <c r="Q57" i="14"/>
  <c r="X57" i="14"/>
  <c r="Z57" i="14"/>
  <c r="O57" i="14"/>
  <c r="Y58" i="24"/>
  <c r="X58" i="24"/>
  <c r="T57" i="24"/>
  <c r="F58" i="21"/>
  <c r="F58" i="14" s="1"/>
  <c r="AE57" i="14"/>
  <c r="C59" i="24"/>
  <c r="G59" i="21"/>
  <c r="G58" i="20"/>
  <c r="G58" i="14" s="1"/>
  <c r="T75" i="38"/>
  <c r="O75" i="38"/>
  <c r="Z75" i="38"/>
  <c r="AK54" i="14"/>
  <c r="AM54" i="36"/>
  <c r="R57" i="14"/>
  <c r="AH56" i="14"/>
  <c r="AY56" i="14" s="1"/>
  <c r="AK58" i="22"/>
  <c r="R58" i="20"/>
  <c r="C59" i="20"/>
  <c r="AI57" i="36"/>
  <c r="AI57" i="14" s="1"/>
  <c r="P74" i="38"/>
  <c r="E74" i="38" s="1"/>
  <c r="J75" i="38"/>
  <c r="AK74" i="38"/>
  <c r="H75" i="38"/>
  <c r="C58" i="36"/>
  <c r="AI75" i="38"/>
  <c r="V75" i="38"/>
  <c r="AA74" i="38"/>
  <c r="F74" i="38" s="1"/>
  <c r="AJ75" i="38"/>
  <c r="W75" i="38"/>
  <c r="AD75" i="38"/>
  <c r="AG75" i="38"/>
  <c r="AH75" i="38"/>
  <c r="AE75" i="38"/>
  <c r="R75" i="38"/>
  <c r="AF75" i="38"/>
  <c r="U75" i="38"/>
  <c r="I75" i="38"/>
  <c r="S75" i="38"/>
  <c r="AC75" i="38"/>
  <c r="C76" i="38"/>
  <c r="C62" i="25"/>
  <c r="C70" i="35"/>
  <c r="AF70" i="35" s="1"/>
  <c r="Y58" i="23"/>
  <c r="X58" i="23"/>
  <c r="Y59" i="22"/>
  <c r="X59" i="22"/>
  <c r="AK57" i="23"/>
  <c r="R58" i="21"/>
  <c r="T58" i="21" s="1"/>
  <c r="T57" i="20"/>
  <c r="C60" i="21"/>
  <c r="AC57" i="23"/>
  <c r="C60" i="22"/>
  <c r="T57" i="23"/>
  <c r="T58" i="22"/>
  <c r="AC58" i="22"/>
  <c r="C59" i="23"/>
  <c r="AL55" i="36" l="1"/>
  <c r="AM55" i="36" s="1"/>
  <c r="AJ56" i="14"/>
  <c r="AT57" i="36"/>
  <c r="AU57" i="36" s="1"/>
  <c r="AJ57" i="36" s="1"/>
  <c r="AK57" i="36" s="1"/>
  <c r="B60" i="35"/>
  <c r="B66" i="38"/>
  <c r="AR58" i="36"/>
  <c r="AS58" i="36"/>
  <c r="AQ58" i="36"/>
  <c r="L66" i="35"/>
  <c r="L66" i="14" s="1"/>
  <c r="A73" i="38"/>
  <c r="AP66" i="36" s="1"/>
  <c r="AT57" i="20"/>
  <c r="AU57" i="20" s="1"/>
  <c r="D60" i="21"/>
  <c r="AU60" i="21" s="1"/>
  <c r="AV58" i="20"/>
  <c r="D59" i="20"/>
  <c r="AA58" i="14"/>
  <c r="Z59" i="23"/>
  <c r="AA59" i="23"/>
  <c r="AA59" i="24"/>
  <c r="Z59" i="24"/>
  <c r="AA60" i="22"/>
  <c r="Z60" i="22"/>
  <c r="Z62" i="25"/>
  <c r="AA62" i="25"/>
  <c r="AE60" i="22"/>
  <c r="N60" i="22"/>
  <c r="Q60" i="22"/>
  <c r="O60" i="22"/>
  <c r="M60" i="22"/>
  <c r="W60" i="22"/>
  <c r="P60" i="22"/>
  <c r="Q59" i="23"/>
  <c r="P59" i="23"/>
  <c r="N59" i="23"/>
  <c r="W59" i="23"/>
  <c r="O59" i="23"/>
  <c r="M59" i="23"/>
  <c r="AE59" i="23"/>
  <c r="AE62" i="25"/>
  <c r="AK62" i="25" s="1"/>
  <c r="Q62" i="25"/>
  <c r="P62" i="25"/>
  <c r="N62" i="25"/>
  <c r="M62" i="25"/>
  <c r="W62" i="25"/>
  <c r="O62" i="25"/>
  <c r="AE59" i="24"/>
  <c r="AK59" i="24" s="1"/>
  <c r="Q59" i="24"/>
  <c r="P59" i="24"/>
  <c r="N59" i="24"/>
  <c r="M59" i="24"/>
  <c r="O59" i="24"/>
  <c r="W59" i="24"/>
  <c r="AK69" i="35"/>
  <c r="AF70" i="14"/>
  <c r="Y76" i="38"/>
  <c r="N76" i="38"/>
  <c r="AH58" i="36"/>
  <c r="AG58" i="36"/>
  <c r="AG58" i="14" s="1"/>
  <c r="T61" i="25"/>
  <c r="Y62" i="25"/>
  <c r="X62" i="25"/>
  <c r="AC61" i="25"/>
  <c r="AC57" i="14"/>
  <c r="W58" i="14"/>
  <c r="Q58" i="14"/>
  <c r="M58" i="14"/>
  <c r="Z58" i="14"/>
  <c r="N58" i="14"/>
  <c r="X58" i="14"/>
  <c r="Y58" i="14"/>
  <c r="T58" i="24"/>
  <c r="AC58" i="24"/>
  <c r="P58" i="14"/>
  <c r="O58" i="14"/>
  <c r="X59" i="24"/>
  <c r="Y59" i="24"/>
  <c r="F59" i="21"/>
  <c r="F59" i="14" s="1"/>
  <c r="AE58" i="14"/>
  <c r="C60" i="24"/>
  <c r="G60" i="21"/>
  <c r="G59" i="20"/>
  <c r="G59" i="14" s="1"/>
  <c r="W76" i="38"/>
  <c r="Z76" i="38"/>
  <c r="O76" i="38"/>
  <c r="T58" i="20"/>
  <c r="R58" i="14"/>
  <c r="AH57" i="14"/>
  <c r="AY57" i="14" s="1"/>
  <c r="AL56" i="36"/>
  <c r="AK56" i="14"/>
  <c r="AK59" i="22"/>
  <c r="R59" i="20"/>
  <c r="C60" i="20"/>
  <c r="AI58" i="36"/>
  <c r="AI58" i="14" s="1"/>
  <c r="P75" i="38"/>
  <c r="E75" i="38" s="1"/>
  <c r="D74" i="38"/>
  <c r="AE76" i="38"/>
  <c r="C59" i="36"/>
  <c r="AA75" i="38"/>
  <c r="F75" i="38" s="1"/>
  <c r="AG76" i="38"/>
  <c r="AI76" i="38"/>
  <c r="AH76" i="38"/>
  <c r="J76" i="38"/>
  <c r="U76" i="38"/>
  <c r="AJ76" i="38"/>
  <c r="S76" i="38"/>
  <c r="AD76" i="38"/>
  <c r="AK75" i="38"/>
  <c r="AC76" i="38"/>
  <c r="R76" i="38"/>
  <c r="H76" i="38"/>
  <c r="T76" i="38"/>
  <c r="I76" i="38"/>
  <c r="V76" i="38"/>
  <c r="AF76" i="38"/>
  <c r="C63" i="25"/>
  <c r="C77" i="38"/>
  <c r="Y60" i="22"/>
  <c r="X60" i="22"/>
  <c r="Y59" i="23"/>
  <c r="X59" i="23"/>
  <c r="AK58" i="23"/>
  <c r="R59" i="21"/>
  <c r="T59" i="21" s="1"/>
  <c r="C61" i="21"/>
  <c r="AC58" i="23"/>
  <c r="C60" i="23"/>
  <c r="AC59" i="22"/>
  <c r="T59" i="22"/>
  <c r="T58" i="23"/>
  <c r="C61" i="22"/>
  <c r="AJ57" i="14" l="1"/>
  <c r="AT58" i="36"/>
  <c r="AU58" i="36" s="1"/>
  <c r="AJ58" i="36" s="1"/>
  <c r="AJ58" i="14" s="1"/>
  <c r="AT58" i="20"/>
  <c r="AU58" i="20" s="1"/>
  <c r="AS59" i="36"/>
  <c r="AQ59" i="36"/>
  <c r="AR59" i="36"/>
  <c r="B67" i="38"/>
  <c r="B61" i="35"/>
  <c r="L67" i="35"/>
  <c r="L67" i="14" s="1"/>
  <c r="A74" i="38"/>
  <c r="AP67" i="36" s="1"/>
  <c r="D61" i="21"/>
  <c r="AU61" i="21" s="1"/>
  <c r="AV59" i="20"/>
  <c r="D60" i="20"/>
  <c r="AA59" i="14"/>
  <c r="Z60" i="24"/>
  <c r="AA60" i="24"/>
  <c r="Z60" i="23"/>
  <c r="AA60" i="23"/>
  <c r="AA61" i="22"/>
  <c r="Z61" i="22"/>
  <c r="Z63" i="25"/>
  <c r="AA63" i="25"/>
  <c r="AE61" i="22"/>
  <c r="P61" i="22"/>
  <c r="M61" i="22"/>
  <c r="O61" i="22"/>
  <c r="W61" i="22"/>
  <c r="Q61" i="22"/>
  <c r="N61" i="22"/>
  <c r="AE63" i="25"/>
  <c r="AK63" i="25" s="1"/>
  <c r="W63" i="25"/>
  <c r="P63" i="25"/>
  <c r="O63" i="25"/>
  <c r="M63" i="25"/>
  <c r="N63" i="25"/>
  <c r="Q63" i="25"/>
  <c r="W60" i="23"/>
  <c r="Q60" i="23"/>
  <c r="O60" i="23"/>
  <c r="AE60" i="23"/>
  <c r="M60" i="23"/>
  <c r="P60" i="23"/>
  <c r="N60" i="23"/>
  <c r="AE60" i="24"/>
  <c r="AK60" i="24" s="1"/>
  <c r="W60" i="24"/>
  <c r="P60" i="24"/>
  <c r="O60" i="24"/>
  <c r="M60" i="24"/>
  <c r="N60" i="24"/>
  <c r="Q60" i="24"/>
  <c r="AF71" i="35"/>
  <c r="AK70" i="35"/>
  <c r="AK71" i="35" s="1"/>
  <c r="N77" i="38"/>
  <c r="N87" i="38" s="1"/>
  <c r="Y77" i="38"/>
  <c r="Y87" i="38" s="1"/>
  <c r="AH59" i="36"/>
  <c r="AG59" i="36"/>
  <c r="AG59" i="14" s="1"/>
  <c r="T62" i="25"/>
  <c r="AC62" i="25"/>
  <c r="Y63" i="25"/>
  <c r="X63" i="25"/>
  <c r="N59" i="14"/>
  <c r="W59" i="14"/>
  <c r="M59" i="14"/>
  <c r="AC58" i="14"/>
  <c r="Z59" i="14"/>
  <c r="P59" i="14"/>
  <c r="O59" i="14"/>
  <c r="F60" i="21"/>
  <c r="F60" i="14" s="1"/>
  <c r="X59" i="14"/>
  <c r="T59" i="24"/>
  <c r="AC59" i="24"/>
  <c r="Y59" i="14"/>
  <c r="X60" i="24"/>
  <c r="Y60" i="24"/>
  <c r="Q59" i="14"/>
  <c r="AE59" i="14"/>
  <c r="C61" i="24"/>
  <c r="G61" i="21"/>
  <c r="G60" i="20"/>
  <c r="G60" i="14" s="1"/>
  <c r="O77" i="38"/>
  <c r="Z77" i="38"/>
  <c r="AM56" i="36"/>
  <c r="R59" i="14"/>
  <c r="AH58" i="14"/>
  <c r="AY58" i="14" s="1"/>
  <c r="AL57" i="36"/>
  <c r="AK57" i="14"/>
  <c r="AK60" i="22"/>
  <c r="T59" i="20"/>
  <c r="P76" i="38"/>
  <c r="E76" i="38" s="1"/>
  <c r="R60" i="20"/>
  <c r="T60" i="20" s="1"/>
  <c r="C61" i="20"/>
  <c r="AI59" i="36"/>
  <c r="AI59" i="14" s="1"/>
  <c r="D75" i="38"/>
  <c r="C60" i="36"/>
  <c r="AK76" i="38"/>
  <c r="AA76" i="38"/>
  <c r="F76" i="38" s="1"/>
  <c r="U77" i="38"/>
  <c r="U87" i="38" s="1"/>
  <c r="R77" i="38"/>
  <c r="W77" i="38"/>
  <c r="W87" i="38" s="1"/>
  <c r="V77" i="38"/>
  <c r="V87" i="38" s="1"/>
  <c r="T77" i="38"/>
  <c r="T87" i="38" s="1"/>
  <c r="S77" i="38"/>
  <c r="S87" i="38" s="1"/>
  <c r="C64" i="25"/>
  <c r="J77" i="38"/>
  <c r="J87" i="38" s="1"/>
  <c r="AC77" i="38"/>
  <c r="AE77" i="38"/>
  <c r="AE87" i="38" s="1"/>
  <c r="AF77" i="38"/>
  <c r="AF87" i="38" s="1"/>
  <c r="I77" i="38"/>
  <c r="I87" i="38" s="1"/>
  <c r="H77" i="38"/>
  <c r="AD77" i="38"/>
  <c r="AD87" i="38" s="1"/>
  <c r="AJ77" i="38"/>
  <c r="AJ87" i="38" s="1"/>
  <c r="AH77" i="38"/>
  <c r="AH87" i="38" s="1"/>
  <c r="AG77" i="38"/>
  <c r="AG87" i="38" s="1"/>
  <c r="AI77" i="38"/>
  <c r="AI87" i="38" s="1"/>
  <c r="Y60" i="23"/>
  <c r="X60" i="23"/>
  <c r="Y61" i="22"/>
  <c r="X61" i="22"/>
  <c r="AK59" i="23"/>
  <c r="R60" i="21"/>
  <c r="T60" i="21" s="1"/>
  <c r="C62" i="21"/>
  <c r="AC59" i="23"/>
  <c r="C62" i="22"/>
  <c r="T59" i="23"/>
  <c r="T60" i="22"/>
  <c r="AC60" i="22"/>
  <c r="C61" i="23"/>
  <c r="AS60" i="36" l="1"/>
  <c r="AQ60" i="36"/>
  <c r="AR60" i="36"/>
  <c r="B62" i="35"/>
  <c r="B68" i="38"/>
  <c r="AT59" i="36"/>
  <c r="AU59" i="36" s="1"/>
  <c r="AJ59" i="36" s="1"/>
  <c r="AJ59" i="14" s="1"/>
  <c r="L68" i="35"/>
  <c r="L68" i="14" s="1"/>
  <c r="A75" i="38"/>
  <c r="AP68" i="36" s="1"/>
  <c r="AT59" i="20"/>
  <c r="AU59" i="20" s="1"/>
  <c r="D62" i="21"/>
  <c r="AU62" i="21" s="1"/>
  <c r="AV60" i="20"/>
  <c r="D61" i="20"/>
  <c r="AA60" i="14"/>
  <c r="Z62" i="22"/>
  <c r="AA62" i="22"/>
  <c r="Z61" i="24"/>
  <c r="AA61" i="24"/>
  <c r="Z64" i="25"/>
  <c r="AA64" i="25"/>
  <c r="Z61" i="23"/>
  <c r="AA61" i="23"/>
  <c r="Q60" i="14"/>
  <c r="AE61" i="23"/>
  <c r="W61" i="23"/>
  <c r="P61" i="23"/>
  <c r="O61" i="23"/>
  <c r="N61" i="23"/>
  <c r="Q61" i="23"/>
  <c r="M61" i="23"/>
  <c r="AE64" i="25"/>
  <c r="AK64" i="25" s="1"/>
  <c r="M64" i="25"/>
  <c r="W64" i="25"/>
  <c r="Q64" i="25"/>
  <c r="O64" i="25"/>
  <c r="N64" i="25"/>
  <c r="P64" i="25"/>
  <c r="AE62" i="22"/>
  <c r="W62" i="22"/>
  <c r="O62" i="22"/>
  <c r="P62" i="22"/>
  <c r="M62" i="22"/>
  <c r="Q62" i="22"/>
  <c r="N62" i="22"/>
  <c r="AE61" i="24"/>
  <c r="AK61" i="24" s="1"/>
  <c r="M61" i="24"/>
  <c r="W61" i="24"/>
  <c r="Q61" i="24"/>
  <c r="O61" i="24"/>
  <c r="P61" i="24"/>
  <c r="N61" i="24"/>
  <c r="AH60" i="36"/>
  <c r="AG60" i="36"/>
  <c r="AG60" i="14" s="1"/>
  <c r="X60" i="14"/>
  <c r="M60" i="14"/>
  <c r="F61" i="21"/>
  <c r="F61" i="14" s="1"/>
  <c r="T63" i="25"/>
  <c r="AC63" i="25"/>
  <c r="X64" i="25"/>
  <c r="Y64" i="25"/>
  <c r="AE60" i="14"/>
  <c r="AC59" i="14"/>
  <c r="Z60" i="14"/>
  <c r="W60" i="14"/>
  <c r="Y60" i="14"/>
  <c r="AC60" i="24"/>
  <c r="Y61" i="24"/>
  <c r="X61" i="24"/>
  <c r="O60" i="14"/>
  <c r="N60" i="14"/>
  <c r="P60" i="14"/>
  <c r="T60" i="24"/>
  <c r="C62" i="24"/>
  <c r="G61" i="20"/>
  <c r="G61" i="14" s="1"/>
  <c r="G62" i="21"/>
  <c r="AM57" i="36"/>
  <c r="R60" i="14"/>
  <c r="AK58" i="36"/>
  <c r="AL58" i="36" s="1"/>
  <c r="AH59" i="14"/>
  <c r="AY59" i="14" s="1"/>
  <c r="AK61" i="22"/>
  <c r="R61" i="20"/>
  <c r="C62" i="20"/>
  <c r="AI60" i="36"/>
  <c r="AI60" i="14" s="1"/>
  <c r="P77" i="38"/>
  <c r="D76" i="38"/>
  <c r="C61" i="36"/>
  <c r="C65" i="25"/>
  <c r="AK77" i="38"/>
  <c r="AK87" i="38" s="1"/>
  <c r="AC87" i="38"/>
  <c r="AA77" i="38"/>
  <c r="R87" i="38"/>
  <c r="H87" i="38"/>
  <c r="X62" i="22"/>
  <c r="Y62" i="22"/>
  <c r="Y61" i="23"/>
  <c r="X61" i="23"/>
  <c r="AK60" i="23"/>
  <c r="R61" i="21"/>
  <c r="T61" i="21" s="1"/>
  <c r="C63" i="21"/>
  <c r="AC60" i="23"/>
  <c r="T61" i="22"/>
  <c r="AC61" i="22"/>
  <c r="C63" i="22"/>
  <c r="C62" i="23"/>
  <c r="T60" i="23"/>
  <c r="AK59" i="36" l="1"/>
  <c r="AK59" i="14" s="1"/>
  <c r="AT60" i="36"/>
  <c r="AU60" i="36" s="1"/>
  <c r="AJ60" i="36" s="1"/>
  <c r="AJ60" i="14" s="1"/>
  <c r="B63" i="35"/>
  <c r="B69" i="38"/>
  <c r="AS61" i="36"/>
  <c r="AQ61" i="36"/>
  <c r="AR61" i="36"/>
  <c r="L69" i="35"/>
  <c r="L69" i="14" s="1"/>
  <c r="A76" i="38"/>
  <c r="AP69" i="36" s="1"/>
  <c r="AT60" i="20"/>
  <c r="AU60" i="20" s="1"/>
  <c r="AV61" i="20"/>
  <c r="D62" i="20"/>
  <c r="D63" i="21"/>
  <c r="AU63" i="21" s="1"/>
  <c r="AA61" i="14"/>
  <c r="Z63" i="22"/>
  <c r="AA63" i="22"/>
  <c r="Z62" i="23"/>
  <c r="AA62" i="23"/>
  <c r="AA62" i="24"/>
  <c r="Z62" i="24"/>
  <c r="Z65" i="25"/>
  <c r="AA65" i="25"/>
  <c r="AE62" i="24"/>
  <c r="AK62" i="24" s="1"/>
  <c r="O62" i="24"/>
  <c r="N62" i="24"/>
  <c r="Q62" i="24"/>
  <c r="W62" i="24"/>
  <c r="P62" i="24"/>
  <c r="M62" i="24"/>
  <c r="AE62" i="23"/>
  <c r="Q62" i="23"/>
  <c r="P62" i="23"/>
  <c r="M62" i="23"/>
  <c r="W62" i="23"/>
  <c r="N62" i="23"/>
  <c r="O62" i="23"/>
  <c r="AE65" i="25"/>
  <c r="AK65" i="25" s="1"/>
  <c r="O65" i="25"/>
  <c r="N65" i="25"/>
  <c r="Q65" i="25"/>
  <c r="P65" i="25"/>
  <c r="M65" i="25"/>
  <c r="W65" i="25"/>
  <c r="AE63" i="22"/>
  <c r="Q63" i="22"/>
  <c r="N63" i="22"/>
  <c r="W63" i="22"/>
  <c r="P63" i="22"/>
  <c r="O63" i="22"/>
  <c r="M63" i="22"/>
  <c r="O61" i="14"/>
  <c r="AH61" i="36"/>
  <c r="AG61" i="36"/>
  <c r="AG61" i="14" s="1"/>
  <c r="AC60" i="14"/>
  <c r="T64" i="25"/>
  <c r="Y65" i="25"/>
  <c r="X65" i="25"/>
  <c r="AC64" i="25"/>
  <c r="Q61" i="14"/>
  <c r="N61" i="14"/>
  <c r="Z61" i="14"/>
  <c r="AE61" i="14"/>
  <c r="M61" i="14"/>
  <c r="Y61" i="14"/>
  <c r="F62" i="21"/>
  <c r="F62" i="14" s="1"/>
  <c r="X61" i="14"/>
  <c r="T61" i="24"/>
  <c r="P61" i="14"/>
  <c r="X62" i="24"/>
  <c r="Y62" i="24"/>
  <c r="AC61" i="24"/>
  <c r="W61" i="14"/>
  <c r="C63" i="24"/>
  <c r="G62" i="20"/>
  <c r="G62" i="14" s="1"/>
  <c r="G63" i="21"/>
  <c r="AM58" i="36"/>
  <c r="AK58" i="14"/>
  <c r="T61" i="20"/>
  <c r="R61" i="14"/>
  <c r="AH60" i="14"/>
  <c r="AY60" i="14" s="1"/>
  <c r="AL59" i="36"/>
  <c r="AK62" i="22"/>
  <c r="R62" i="20"/>
  <c r="C63" i="20"/>
  <c r="AI61" i="36"/>
  <c r="AI61" i="14" s="1"/>
  <c r="C62" i="36"/>
  <c r="C66" i="25"/>
  <c r="E77" i="38"/>
  <c r="P87" i="38"/>
  <c r="F77" i="38"/>
  <c r="AA87" i="38"/>
  <c r="Y62" i="23"/>
  <c r="X62" i="23"/>
  <c r="Y63" i="22"/>
  <c r="X63" i="22"/>
  <c r="AK61" i="23"/>
  <c r="R62" i="21"/>
  <c r="T62" i="21" s="1"/>
  <c r="C64" i="21"/>
  <c r="D64" i="21" s="1"/>
  <c r="AC61" i="23"/>
  <c r="AC62" i="22"/>
  <c r="T61" i="23"/>
  <c r="T62" i="22"/>
  <c r="C64" i="22"/>
  <c r="C63" i="23"/>
  <c r="AT61" i="36" l="1"/>
  <c r="AU61" i="36" s="1"/>
  <c r="AJ61" i="36" s="1"/>
  <c r="AK61" i="36" s="1"/>
  <c r="AS62" i="36"/>
  <c r="AQ62" i="36"/>
  <c r="AR62" i="36"/>
  <c r="B70" i="38"/>
  <c r="B64" i="35"/>
  <c r="AT61" i="20"/>
  <c r="AU61" i="20" s="1"/>
  <c r="AV62" i="20"/>
  <c r="D63" i="20"/>
  <c r="AU64" i="21"/>
  <c r="AA62" i="14"/>
  <c r="Z63" i="23"/>
  <c r="AA63" i="23"/>
  <c r="AA64" i="22"/>
  <c r="Z64" i="22"/>
  <c r="AA63" i="24"/>
  <c r="Z63" i="24"/>
  <c r="Z66" i="25"/>
  <c r="AA66" i="25"/>
  <c r="AE63" i="24"/>
  <c r="AK63" i="24" s="1"/>
  <c r="Q63" i="24"/>
  <c r="P63" i="24"/>
  <c r="N63" i="24"/>
  <c r="M63" i="24"/>
  <c r="W63" i="24"/>
  <c r="O63" i="24"/>
  <c r="AE66" i="25"/>
  <c r="AK66" i="25" s="1"/>
  <c r="Q66" i="25"/>
  <c r="P66" i="25"/>
  <c r="N66" i="25"/>
  <c r="M66" i="25"/>
  <c r="W66" i="25"/>
  <c r="O66" i="25"/>
  <c r="M63" i="23"/>
  <c r="W63" i="23"/>
  <c r="Q63" i="23"/>
  <c r="O63" i="23"/>
  <c r="N63" i="23"/>
  <c r="P63" i="23"/>
  <c r="AE63" i="23"/>
  <c r="AE64" i="22"/>
  <c r="N64" i="22"/>
  <c r="W64" i="22"/>
  <c r="O64" i="22"/>
  <c r="M64" i="22"/>
  <c r="P64" i="22"/>
  <c r="Q64" i="22"/>
  <c r="N62" i="14"/>
  <c r="AH62" i="36"/>
  <c r="AG62" i="36"/>
  <c r="AG62" i="14" s="1"/>
  <c r="T65" i="25"/>
  <c r="X66" i="25"/>
  <c r="Y66" i="25"/>
  <c r="AC65" i="25"/>
  <c r="F63" i="21"/>
  <c r="F63" i="14" s="1"/>
  <c r="AE62" i="14"/>
  <c r="Z62" i="14"/>
  <c r="P62" i="14"/>
  <c r="W62" i="14"/>
  <c r="O62" i="14"/>
  <c r="Y62" i="14"/>
  <c r="T62" i="24"/>
  <c r="AC61" i="14"/>
  <c r="M62" i="14"/>
  <c r="Q62" i="14"/>
  <c r="AC62" i="24"/>
  <c r="X62" i="14"/>
  <c r="X63" i="24"/>
  <c r="Y63" i="24"/>
  <c r="C64" i="24"/>
  <c r="G63" i="20"/>
  <c r="G63" i="14" s="1"/>
  <c r="G64" i="21"/>
  <c r="AM59" i="36"/>
  <c r="R62" i="14"/>
  <c r="AK60" i="36"/>
  <c r="AL60" i="36" s="1"/>
  <c r="AH61" i="14"/>
  <c r="AY61" i="14" s="1"/>
  <c r="AK63" i="22"/>
  <c r="R63" i="20"/>
  <c r="C64" i="20"/>
  <c r="AI62" i="36"/>
  <c r="AI62" i="14" s="1"/>
  <c r="C63" i="36"/>
  <c r="C67" i="25"/>
  <c r="D77" i="38"/>
  <c r="X64" i="22"/>
  <c r="Y64" i="22"/>
  <c r="X63" i="23"/>
  <c r="Y63" i="23"/>
  <c r="AK62" i="23"/>
  <c r="R63" i="21"/>
  <c r="T63" i="21" s="1"/>
  <c r="T62" i="20"/>
  <c r="C65" i="21"/>
  <c r="D65" i="21" s="1"/>
  <c r="AC62" i="23"/>
  <c r="T62" i="23"/>
  <c r="C65" i="22"/>
  <c r="C64" i="23"/>
  <c r="T63" i="22"/>
  <c r="AC63" i="22"/>
  <c r="AJ61" i="14" l="1"/>
  <c r="B65" i="35"/>
  <c r="B71" i="38"/>
  <c r="AR63" i="36"/>
  <c r="AQ63" i="36"/>
  <c r="AS63" i="36"/>
  <c r="AT62" i="36"/>
  <c r="AU62" i="36" s="1"/>
  <c r="AJ62" i="36" s="1"/>
  <c r="AJ62" i="14" s="1"/>
  <c r="L70" i="35"/>
  <c r="L70" i="14" s="1"/>
  <c r="L71" i="14" s="1"/>
  <c r="A77" i="38"/>
  <c r="AP70" i="36" s="1"/>
  <c r="AT62" i="20"/>
  <c r="AU62" i="20" s="1"/>
  <c r="AV63" i="20"/>
  <c r="D64" i="20"/>
  <c r="AU65" i="21"/>
  <c r="AA63" i="14"/>
  <c r="Z64" i="24"/>
  <c r="AA64" i="24"/>
  <c r="AA67" i="25"/>
  <c r="Z67" i="25"/>
  <c r="Z64" i="23"/>
  <c r="AA64" i="23"/>
  <c r="AA65" i="22"/>
  <c r="Z65" i="22"/>
  <c r="N64" i="23"/>
  <c r="M64" i="23"/>
  <c r="AE64" i="23"/>
  <c r="P64" i="23"/>
  <c r="W64" i="23"/>
  <c r="O64" i="23"/>
  <c r="Q64" i="23"/>
  <c r="AE67" i="25"/>
  <c r="AK67" i="25" s="1"/>
  <c r="W67" i="25"/>
  <c r="P67" i="25"/>
  <c r="O67" i="25"/>
  <c r="M67" i="25"/>
  <c r="Q67" i="25"/>
  <c r="N67" i="25"/>
  <c r="AE64" i="24"/>
  <c r="AK64" i="24" s="1"/>
  <c r="W64" i="24"/>
  <c r="P64" i="24"/>
  <c r="O64" i="24"/>
  <c r="M64" i="24"/>
  <c r="Q64" i="24"/>
  <c r="N64" i="24"/>
  <c r="AE65" i="22"/>
  <c r="P65" i="22"/>
  <c r="M65" i="22"/>
  <c r="Q65" i="22"/>
  <c r="O65" i="22"/>
  <c r="W65" i="22"/>
  <c r="N65" i="22"/>
  <c r="AH63" i="36"/>
  <c r="AG63" i="36"/>
  <c r="AG63" i="14" s="1"/>
  <c r="AC62" i="14"/>
  <c r="AC66" i="25"/>
  <c r="T66" i="25"/>
  <c r="X67" i="25"/>
  <c r="Y67" i="25"/>
  <c r="P63" i="14"/>
  <c r="O63" i="14"/>
  <c r="N63" i="14"/>
  <c r="M63" i="14"/>
  <c r="Z63" i="14"/>
  <c r="X63" i="14"/>
  <c r="F64" i="21"/>
  <c r="F64" i="14" s="1"/>
  <c r="W63" i="14"/>
  <c r="Y63" i="14"/>
  <c r="AC63" i="24"/>
  <c r="Q63" i="14"/>
  <c r="AE63" i="14"/>
  <c r="Y64" i="24"/>
  <c r="X64" i="24"/>
  <c r="T63" i="24"/>
  <c r="C65" i="24"/>
  <c r="G64" i="20"/>
  <c r="G64" i="14" s="1"/>
  <c r="G65" i="21"/>
  <c r="AM60" i="36"/>
  <c r="AK60" i="14"/>
  <c r="R63" i="14"/>
  <c r="AH62" i="14"/>
  <c r="AY62" i="14" s="1"/>
  <c r="AL61" i="36"/>
  <c r="AK61" i="14"/>
  <c r="AK64" i="22"/>
  <c r="C65" i="20"/>
  <c r="D65" i="20" s="1"/>
  <c r="R64" i="20"/>
  <c r="AI63" i="36"/>
  <c r="AI63" i="14" s="1"/>
  <c r="C64" i="36"/>
  <c r="C68" i="25"/>
  <c r="Y65" i="22"/>
  <c r="X65" i="22"/>
  <c r="X64" i="23"/>
  <c r="Y64" i="23"/>
  <c r="AK63" i="23"/>
  <c r="R64" i="21"/>
  <c r="T64" i="21" s="1"/>
  <c r="T63" i="20"/>
  <c r="C66" i="21"/>
  <c r="D66" i="21" s="1"/>
  <c r="AC63" i="23"/>
  <c r="AC64" i="22"/>
  <c r="T63" i="23"/>
  <c r="T64" i="22"/>
  <c r="C66" i="22"/>
  <c r="C65" i="23"/>
  <c r="L71" i="35" l="1"/>
  <c r="AT63" i="36"/>
  <c r="AU63" i="36" s="1"/>
  <c r="AJ63" i="36" s="1"/>
  <c r="AJ63" i="14" s="1"/>
  <c r="AR64" i="36"/>
  <c r="AS64" i="36"/>
  <c r="AQ64" i="36"/>
  <c r="B72" i="38"/>
  <c r="B66" i="35"/>
  <c r="AT63" i="20"/>
  <c r="AU63" i="20" s="1"/>
  <c r="AV64" i="20"/>
  <c r="AU66" i="21"/>
  <c r="AA64" i="14"/>
  <c r="Z65" i="24"/>
  <c r="AA65" i="24"/>
  <c r="Z65" i="23"/>
  <c r="AA65" i="23"/>
  <c r="Z66" i="22"/>
  <c r="AA66" i="22"/>
  <c r="Z68" i="25"/>
  <c r="AA68" i="25"/>
  <c r="AE65" i="24"/>
  <c r="AK65" i="24" s="1"/>
  <c r="M65" i="24"/>
  <c r="W65" i="24"/>
  <c r="Q65" i="24"/>
  <c r="O65" i="24"/>
  <c r="N65" i="24"/>
  <c r="P65" i="24"/>
  <c r="O65" i="23"/>
  <c r="N65" i="23"/>
  <c r="Q65" i="23"/>
  <c r="M65" i="23"/>
  <c r="W65" i="23"/>
  <c r="P65" i="23"/>
  <c r="AE65" i="23"/>
  <c r="AE66" i="22"/>
  <c r="W66" i="22"/>
  <c r="O66" i="22"/>
  <c r="Q66" i="22"/>
  <c r="M66" i="22"/>
  <c r="P66" i="22"/>
  <c r="N66" i="22"/>
  <c r="AE68" i="25"/>
  <c r="AK68" i="25" s="1"/>
  <c r="M68" i="25"/>
  <c r="W68" i="25"/>
  <c r="Q68" i="25"/>
  <c r="O68" i="25"/>
  <c r="P68" i="25"/>
  <c r="N68" i="25"/>
  <c r="AH64" i="36"/>
  <c r="AG64" i="36"/>
  <c r="AG64" i="14" s="1"/>
  <c r="AC67" i="25"/>
  <c r="T67" i="25"/>
  <c r="X68" i="25"/>
  <c r="Y68" i="25"/>
  <c r="W64" i="14"/>
  <c r="Y64" i="14"/>
  <c r="AE64" i="14"/>
  <c r="X64" i="14"/>
  <c r="O64" i="14"/>
  <c r="N64" i="14"/>
  <c r="M64" i="14"/>
  <c r="Q64" i="14"/>
  <c r="AC64" i="24"/>
  <c r="X65" i="24"/>
  <c r="Y65" i="24"/>
  <c r="T64" i="24"/>
  <c r="AC63" i="14"/>
  <c r="P64" i="14"/>
  <c r="Z64" i="14"/>
  <c r="F65" i="21"/>
  <c r="F65" i="14" s="1"/>
  <c r="C66" i="24"/>
  <c r="G65" i="20"/>
  <c r="G65" i="14" s="1"/>
  <c r="G66" i="21"/>
  <c r="AM61" i="36"/>
  <c r="T64" i="20"/>
  <c r="R64" i="14"/>
  <c r="AK62" i="36"/>
  <c r="AL62" i="36" s="1"/>
  <c r="AH63" i="14"/>
  <c r="AY63" i="14" s="1"/>
  <c r="AK65" i="22"/>
  <c r="C66" i="20"/>
  <c r="D66" i="20" s="1"/>
  <c r="R65" i="20"/>
  <c r="AI64" i="36"/>
  <c r="AI64" i="14" s="1"/>
  <c r="C65" i="36"/>
  <c r="C69" i="25"/>
  <c r="Y66" i="22"/>
  <c r="X66" i="22"/>
  <c r="Y65" i="23"/>
  <c r="X65" i="23"/>
  <c r="AK64" i="23"/>
  <c r="R65" i="21"/>
  <c r="T65" i="21" s="1"/>
  <c r="C67" i="21"/>
  <c r="D67" i="21" s="1"/>
  <c r="AC64" i="23"/>
  <c r="T65" i="22"/>
  <c r="AC65" i="22"/>
  <c r="T64" i="23"/>
  <c r="C66" i="23"/>
  <c r="C67" i="22"/>
  <c r="B67" i="35" l="1"/>
  <c r="B73" i="38"/>
  <c r="AT64" i="36"/>
  <c r="AU64" i="36" s="1"/>
  <c r="AJ64" i="36" s="1"/>
  <c r="AK64" i="36" s="1"/>
  <c r="AS65" i="36"/>
  <c r="AQ65" i="36"/>
  <c r="AR65" i="36"/>
  <c r="AT64" i="20"/>
  <c r="AU64" i="20" s="1"/>
  <c r="AU67" i="21"/>
  <c r="AA65" i="14"/>
  <c r="Z69" i="25"/>
  <c r="AA69" i="25"/>
  <c r="Z66" i="23"/>
  <c r="AA66" i="23"/>
  <c r="Z67" i="22"/>
  <c r="AA67" i="22"/>
  <c r="AA66" i="24"/>
  <c r="Z66" i="24"/>
  <c r="AE66" i="24"/>
  <c r="AK66" i="24" s="1"/>
  <c r="O66" i="24"/>
  <c r="N66" i="24"/>
  <c r="Q66" i="24"/>
  <c r="P66" i="24"/>
  <c r="M66" i="24"/>
  <c r="W66" i="24"/>
  <c r="AE67" i="22"/>
  <c r="Q67" i="22"/>
  <c r="W67" i="22"/>
  <c r="O67" i="22"/>
  <c r="N67" i="22"/>
  <c r="M67" i="22"/>
  <c r="P67" i="22"/>
  <c r="P66" i="23"/>
  <c r="O66" i="23"/>
  <c r="M66" i="23"/>
  <c r="N66" i="23"/>
  <c r="AE66" i="23"/>
  <c r="W66" i="23"/>
  <c r="Q66" i="23"/>
  <c r="AE69" i="25"/>
  <c r="AK69" i="25" s="1"/>
  <c r="O69" i="25"/>
  <c r="N69" i="25"/>
  <c r="Q69" i="25"/>
  <c r="M69" i="25"/>
  <c r="W69" i="25"/>
  <c r="P69" i="25"/>
  <c r="P65" i="14"/>
  <c r="AH65" i="36"/>
  <c r="AG65" i="36"/>
  <c r="AG65" i="14" s="1"/>
  <c r="M65" i="14"/>
  <c r="AC68" i="25"/>
  <c r="T68" i="25"/>
  <c r="Y69" i="25"/>
  <c r="X69" i="25"/>
  <c r="Q65" i="14"/>
  <c r="AC64" i="14"/>
  <c r="N65" i="14"/>
  <c r="AE65" i="14"/>
  <c r="X65" i="14"/>
  <c r="F66" i="21"/>
  <c r="F66" i="14" s="1"/>
  <c r="Z65" i="14"/>
  <c r="O65" i="14"/>
  <c r="Y65" i="14"/>
  <c r="X66" i="24"/>
  <c r="Y66" i="24"/>
  <c r="T65" i="24"/>
  <c r="AC65" i="24"/>
  <c r="W65" i="14"/>
  <c r="C67" i="24"/>
  <c r="G67" i="21"/>
  <c r="G66" i="20"/>
  <c r="G66" i="14" s="1"/>
  <c r="AM62" i="36"/>
  <c r="AK62" i="14"/>
  <c r="R65" i="14"/>
  <c r="AK63" i="36"/>
  <c r="AL63" i="36" s="1"/>
  <c r="AJ64" i="14"/>
  <c r="AH64" i="14"/>
  <c r="AY64" i="14" s="1"/>
  <c r="AK66" i="22"/>
  <c r="C67" i="20"/>
  <c r="D67" i="20" s="1"/>
  <c r="R66" i="20"/>
  <c r="AI65" i="36"/>
  <c r="AI65" i="14" s="1"/>
  <c r="C66" i="36"/>
  <c r="C70" i="25"/>
  <c r="Y66" i="23"/>
  <c r="X66" i="23"/>
  <c r="Y67" i="22"/>
  <c r="X67" i="22"/>
  <c r="AK65" i="23"/>
  <c r="R66" i="21"/>
  <c r="T66" i="21" s="1"/>
  <c r="T65" i="20"/>
  <c r="C68" i="21"/>
  <c r="D68" i="21" s="1"/>
  <c r="AC65" i="23"/>
  <c r="AC66" i="22"/>
  <c r="T66" i="22"/>
  <c r="T65" i="23"/>
  <c r="C68" i="22"/>
  <c r="C67" i="23"/>
  <c r="AT65" i="36" l="1"/>
  <c r="AU65" i="36" s="1"/>
  <c r="AJ65" i="36" s="1"/>
  <c r="AJ65" i="14" s="1"/>
  <c r="AR66" i="36"/>
  <c r="AS66" i="36"/>
  <c r="AQ66" i="36"/>
  <c r="B68" i="35"/>
  <c r="B74" i="38"/>
  <c r="Z74" i="25"/>
  <c r="CC62" i="26" s="1"/>
  <c r="AA74" i="25"/>
  <c r="CC63" i="26" s="1"/>
  <c r="AT65" i="20"/>
  <c r="AU65" i="20" s="1"/>
  <c r="AV65" i="20"/>
  <c r="E65" i="20"/>
  <c r="AU68" i="21"/>
  <c r="AA66" i="14"/>
  <c r="AA68" i="22"/>
  <c r="Z68" i="22"/>
  <c r="Z70" i="25"/>
  <c r="AA70" i="25"/>
  <c r="AA67" i="24"/>
  <c r="Z67" i="24"/>
  <c r="Z67" i="23"/>
  <c r="AA67" i="23"/>
  <c r="AQ5" i="37"/>
  <c r="AQ13" i="37"/>
  <c r="AQ8" i="37"/>
  <c r="AQ10" i="37"/>
  <c r="AQ7" i="37"/>
  <c r="AQ6" i="37"/>
  <c r="AQ14" i="37"/>
  <c r="AQ15" i="37"/>
  <c r="AQ9" i="37"/>
  <c r="AQ11" i="37"/>
  <c r="AQ12" i="37"/>
  <c r="AQ17" i="37"/>
  <c r="AQ18" i="37"/>
  <c r="AQ16" i="37"/>
  <c r="AQ19" i="37"/>
  <c r="AQ21" i="37"/>
  <c r="AQ20" i="37"/>
  <c r="AQ22" i="37"/>
  <c r="AQ25" i="37"/>
  <c r="AQ24" i="37"/>
  <c r="AQ23" i="37"/>
  <c r="AQ27" i="37"/>
  <c r="AQ26" i="37"/>
  <c r="AQ28" i="37"/>
  <c r="AE68" i="22"/>
  <c r="N68" i="22"/>
  <c r="P68" i="22"/>
  <c r="W68" i="22"/>
  <c r="O68" i="22"/>
  <c r="M68" i="22"/>
  <c r="Q68" i="22"/>
  <c r="AE67" i="24"/>
  <c r="AK67" i="24" s="1"/>
  <c r="Q67" i="24"/>
  <c r="P67" i="24"/>
  <c r="N67" i="24"/>
  <c r="M67" i="24"/>
  <c r="O67" i="24"/>
  <c r="W67" i="24"/>
  <c r="Q67" i="23"/>
  <c r="P67" i="23"/>
  <c r="N67" i="23"/>
  <c r="O67" i="23"/>
  <c r="AE67" i="23"/>
  <c r="W67" i="23"/>
  <c r="M67" i="23"/>
  <c r="AE70" i="25"/>
  <c r="AK70" i="25" s="1"/>
  <c r="Q70" i="25"/>
  <c r="Q71" i="25" s="1"/>
  <c r="P70" i="25"/>
  <c r="P71" i="25" s="1"/>
  <c r="N70" i="25"/>
  <c r="N71" i="25" s="1"/>
  <c r="M70" i="25"/>
  <c r="M71" i="25" s="1"/>
  <c r="O70" i="25"/>
  <c r="W70" i="25"/>
  <c r="AH66" i="36"/>
  <c r="AG66" i="36"/>
  <c r="AG66" i="14" s="1"/>
  <c r="Q66" i="14"/>
  <c r="M66" i="14"/>
  <c r="O66" i="14"/>
  <c r="Y70" i="25"/>
  <c r="Y71" i="25" s="1"/>
  <c r="X70" i="25"/>
  <c r="X71" i="25" s="1"/>
  <c r="AC69" i="25"/>
  <c r="T69" i="25"/>
  <c r="P66" i="14"/>
  <c r="F67" i="21"/>
  <c r="F67" i="14" s="1"/>
  <c r="Y66" i="14"/>
  <c r="N66" i="14"/>
  <c r="AE66" i="14"/>
  <c r="AC65" i="14"/>
  <c r="T66" i="24"/>
  <c r="W66" i="14"/>
  <c r="X66" i="14"/>
  <c r="Z66" i="14"/>
  <c r="Y67" i="24"/>
  <c r="X67" i="24"/>
  <c r="AC66" i="24"/>
  <c r="C68" i="24"/>
  <c r="G67" i="20"/>
  <c r="G67" i="14" s="1"/>
  <c r="G68" i="21"/>
  <c r="AM63" i="36"/>
  <c r="AK63" i="14"/>
  <c r="T66" i="20"/>
  <c r="R66" i="14"/>
  <c r="AH65" i="14"/>
  <c r="AY65" i="14" s="1"/>
  <c r="AL64" i="36"/>
  <c r="AK64" i="14"/>
  <c r="AK67" i="22"/>
  <c r="C68" i="20"/>
  <c r="D68" i="20" s="1"/>
  <c r="R67" i="20"/>
  <c r="AI66" i="36"/>
  <c r="AI66" i="14" s="1"/>
  <c r="C67" i="36"/>
  <c r="Y67" i="23"/>
  <c r="X67" i="23"/>
  <c r="Y68" i="22"/>
  <c r="X68" i="22"/>
  <c r="AK66" i="23"/>
  <c r="R67" i="21"/>
  <c r="T67" i="21" s="1"/>
  <c r="C69" i="21"/>
  <c r="D69" i="21" s="1"/>
  <c r="AC66" i="23"/>
  <c r="C69" i="22"/>
  <c r="C68" i="23"/>
  <c r="T67" i="22"/>
  <c r="T66" i="23"/>
  <c r="AC67" i="22"/>
  <c r="AK65" i="36" l="1"/>
  <c r="AL65" i="36" s="1"/>
  <c r="AT66" i="36"/>
  <c r="AU66" i="36" s="1"/>
  <c r="AJ66" i="36" s="1"/>
  <c r="AJ66" i="14" s="1"/>
  <c r="B69" i="35"/>
  <c r="B75" i="38"/>
  <c r="AS67" i="36"/>
  <c r="AQ67" i="36"/>
  <c r="AR67" i="36"/>
  <c r="CC64" i="26"/>
  <c r="AT66" i="20"/>
  <c r="AU66" i="20" s="1"/>
  <c r="AV66" i="20"/>
  <c r="E66" i="20"/>
  <c r="AU69" i="21"/>
  <c r="AA67" i="14"/>
  <c r="Z68" i="23"/>
  <c r="AA68" i="23"/>
  <c r="AA69" i="22"/>
  <c r="Z69" i="22"/>
  <c r="Z68" i="24"/>
  <c r="AA68" i="24"/>
  <c r="CC48" i="26"/>
  <c r="CC54" i="26"/>
  <c r="CC49" i="26"/>
  <c r="CC46" i="26"/>
  <c r="CC45" i="26"/>
  <c r="CC53" i="26"/>
  <c r="AE71" i="25"/>
  <c r="W68" i="23"/>
  <c r="Q68" i="23"/>
  <c r="O68" i="23"/>
  <c r="M68" i="23"/>
  <c r="AE68" i="23"/>
  <c r="P68" i="23"/>
  <c r="N68" i="23"/>
  <c r="AE69" i="22"/>
  <c r="P69" i="22"/>
  <c r="M69" i="22"/>
  <c r="Q69" i="22"/>
  <c r="N69" i="22"/>
  <c r="W69" i="22"/>
  <c r="O69" i="22"/>
  <c r="AE68" i="24"/>
  <c r="AK68" i="24" s="1"/>
  <c r="W68" i="24"/>
  <c r="P68" i="24"/>
  <c r="O68" i="24"/>
  <c r="M68" i="24"/>
  <c r="Q68" i="24"/>
  <c r="N68" i="24"/>
  <c r="P67" i="14"/>
  <c r="AH67" i="36"/>
  <c r="AG67" i="36"/>
  <c r="AG67" i="14" s="1"/>
  <c r="O67" i="14"/>
  <c r="T70" i="25"/>
  <c r="O71" i="25"/>
  <c r="AC70" i="25"/>
  <c r="W71" i="25"/>
  <c r="W67" i="14"/>
  <c r="F68" i="21"/>
  <c r="F68" i="14" s="1"/>
  <c r="AC66" i="14"/>
  <c r="Q67" i="14"/>
  <c r="T67" i="24"/>
  <c r="M67" i="14"/>
  <c r="N67" i="14"/>
  <c r="X67" i="14"/>
  <c r="Y68" i="24"/>
  <c r="X68" i="24"/>
  <c r="AC67" i="24"/>
  <c r="Y67" i="14"/>
  <c r="Z67" i="14"/>
  <c r="AE67" i="14"/>
  <c r="C69" i="24"/>
  <c r="AK71" i="25"/>
  <c r="G69" i="21"/>
  <c r="G68" i="20"/>
  <c r="G68" i="14" s="1"/>
  <c r="AM64" i="36"/>
  <c r="T67" i="20"/>
  <c r="R67" i="14"/>
  <c r="AH66" i="14"/>
  <c r="AY66" i="14" s="1"/>
  <c r="AK68" i="22"/>
  <c r="C69" i="20"/>
  <c r="D69" i="20" s="1"/>
  <c r="R68" i="20"/>
  <c r="AI67" i="36"/>
  <c r="AI67" i="14" s="1"/>
  <c r="C68" i="36"/>
  <c r="Y69" i="22"/>
  <c r="X69" i="22"/>
  <c r="Y68" i="23"/>
  <c r="X68" i="23"/>
  <c r="AK67" i="23"/>
  <c r="R68" i="21"/>
  <c r="T68" i="21" s="1"/>
  <c r="C70" i="21"/>
  <c r="D70" i="21" s="1"/>
  <c r="AC67" i="23"/>
  <c r="T67" i="23"/>
  <c r="T68" i="22"/>
  <c r="C70" i="22"/>
  <c r="AN5" i="37" s="1"/>
  <c r="AR5" i="37" s="1"/>
  <c r="V5" i="37" s="1"/>
  <c r="C69" i="23"/>
  <c r="AC68" i="22"/>
  <c r="AK65" i="14" l="1"/>
  <c r="AT67" i="36"/>
  <c r="AU67" i="36" s="1"/>
  <c r="AJ67" i="36" s="1"/>
  <c r="AJ67" i="14" s="1"/>
  <c r="B76" i="38"/>
  <c r="B70" i="35"/>
  <c r="B77" i="38" s="1"/>
  <c r="AS68" i="36"/>
  <c r="AQ68" i="36"/>
  <c r="AR68" i="36"/>
  <c r="F5" i="37"/>
  <c r="V29" i="37"/>
  <c r="AN11" i="37"/>
  <c r="AR11" i="37" s="1"/>
  <c r="AT67" i="20"/>
  <c r="AU67" i="20" s="1"/>
  <c r="AV68" i="20"/>
  <c r="E68" i="20"/>
  <c r="AV67" i="20"/>
  <c r="E67" i="20"/>
  <c r="AU70" i="21"/>
  <c r="CC57" i="26"/>
  <c r="AA68" i="14"/>
  <c r="Z69" i="24"/>
  <c r="AA69" i="24"/>
  <c r="Z69" i="23"/>
  <c r="AA69" i="23"/>
  <c r="Z70" i="22"/>
  <c r="Z74" i="22" s="1"/>
  <c r="BZ62" i="26" s="1"/>
  <c r="AA70" i="22"/>
  <c r="AA74" i="22" s="1"/>
  <c r="BZ63" i="26" s="1"/>
  <c r="CC52" i="26"/>
  <c r="CC47" i="26"/>
  <c r="CC51" i="26" s="1"/>
  <c r="AN10" i="37"/>
  <c r="AR10" i="37" s="1"/>
  <c r="AN16" i="37"/>
  <c r="AR16" i="37" s="1"/>
  <c r="AN14" i="37"/>
  <c r="AR14" i="37" s="1"/>
  <c r="AN13" i="37"/>
  <c r="AR13" i="37" s="1"/>
  <c r="AN12" i="37"/>
  <c r="AR12" i="37" s="1"/>
  <c r="AN15" i="37"/>
  <c r="AR15" i="37" s="1"/>
  <c r="AN17" i="37"/>
  <c r="AR17" i="37" s="1"/>
  <c r="AN18" i="37"/>
  <c r="AR18" i="37" s="1"/>
  <c r="AN20" i="37"/>
  <c r="AR20" i="37" s="1"/>
  <c r="AN19" i="37"/>
  <c r="AR19" i="37" s="1"/>
  <c r="AN21" i="37"/>
  <c r="AR21" i="37" s="1"/>
  <c r="AN22" i="37"/>
  <c r="AR22" i="37" s="1"/>
  <c r="AN23" i="37"/>
  <c r="AR23" i="37" s="1"/>
  <c r="AN24" i="37"/>
  <c r="AR24" i="37" s="1"/>
  <c r="AN26" i="37"/>
  <c r="AR26" i="37" s="1"/>
  <c r="AN25" i="37"/>
  <c r="AR25" i="37" s="1"/>
  <c r="AN27" i="37"/>
  <c r="AR27" i="37" s="1"/>
  <c r="AN28" i="37"/>
  <c r="AR28" i="37" s="1"/>
  <c r="AE70" i="22"/>
  <c r="W70" i="22"/>
  <c r="O70" i="22"/>
  <c r="N70" i="22"/>
  <c r="Q70" i="22"/>
  <c r="P70" i="22"/>
  <c r="M70" i="22"/>
  <c r="AE69" i="24"/>
  <c r="AK69" i="24" s="1"/>
  <c r="M69" i="24"/>
  <c r="W69" i="24"/>
  <c r="Q69" i="24"/>
  <c r="O69" i="24"/>
  <c r="P69" i="24"/>
  <c r="N69" i="24"/>
  <c r="AE69" i="23"/>
  <c r="W69" i="23"/>
  <c r="P69" i="23"/>
  <c r="N69" i="23"/>
  <c r="O69" i="23"/>
  <c r="M69" i="23"/>
  <c r="Q69" i="23"/>
  <c r="AH68" i="36"/>
  <c r="AG68" i="36"/>
  <c r="AG68" i="14" s="1"/>
  <c r="Q68" i="14"/>
  <c r="N68" i="14"/>
  <c r="P68" i="14"/>
  <c r="Z68" i="14"/>
  <c r="AC67" i="14"/>
  <c r="T71" i="25"/>
  <c r="M68" i="14"/>
  <c r="AE68" i="14"/>
  <c r="F69" i="21"/>
  <c r="F69" i="14" s="1"/>
  <c r="O68" i="14"/>
  <c r="W68" i="14"/>
  <c r="AC68" i="24"/>
  <c r="Y68" i="14"/>
  <c r="T68" i="24"/>
  <c r="X69" i="24"/>
  <c r="Y69" i="24"/>
  <c r="X68" i="14"/>
  <c r="C70" i="24"/>
  <c r="G69" i="20"/>
  <c r="G69" i="14" s="1"/>
  <c r="G70" i="21"/>
  <c r="AM65" i="36"/>
  <c r="R68" i="14"/>
  <c r="AK66" i="36"/>
  <c r="AL66" i="36" s="1"/>
  <c r="AH67" i="14"/>
  <c r="AY67" i="14" s="1"/>
  <c r="AK69" i="22"/>
  <c r="T68" i="20"/>
  <c r="C70" i="20"/>
  <c r="D70" i="20" s="1"/>
  <c r="R69" i="20"/>
  <c r="AI68" i="36"/>
  <c r="AI68" i="14" s="1"/>
  <c r="C69" i="36"/>
  <c r="X70" i="22"/>
  <c r="Y70" i="22"/>
  <c r="Y69" i="23"/>
  <c r="X69" i="23"/>
  <c r="R69" i="21"/>
  <c r="T69" i="21" s="1"/>
  <c r="AK68" i="23"/>
  <c r="AC68" i="23"/>
  <c r="T68" i="23"/>
  <c r="C70" i="23"/>
  <c r="AC69" i="22"/>
  <c r="T69" i="22"/>
  <c r="AK67" i="36" l="1"/>
  <c r="AL67" i="36" s="1"/>
  <c r="AS69" i="36"/>
  <c r="AQ69" i="36"/>
  <c r="AR69" i="36"/>
  <c r="AT68" i="36"/>
  <c r="AU68" i="36" s="1"/>
  <c r="AJ68" i="36" s="1"/>
  <c r="Z9" i="22"/>
  <c r="AC9" i="22" s="1"/>
  <c r="Z10" i="22"/>
  <c r="AC10" i="22" s="1"/>
  <c r="BZ64" i="26"/>
  <c r="Z74" i="24"/>
  <c r="CB62" i="26" s="1"/>
  <c r="AA74" i="24"/>
  <c r="CB63" i="26" s="1"/>
  <c r="AT68" i="20"/>
  <c r="AU68" i="20" s="1"/>
  <c r="AO5" i="37"/>
  <c r="AS5" i="37" s="1"/>
  <c r="AO6" i="37"/>
  <c r="AS6" i="37" s="1"/>
  <c r="AV71" i="21"/>
  <c r="AU71" i="21"/>
  <c r="AQ49" i="26"/>
  <c r="AQ48" i="26"/>
  <c r="AA69" i="14"/>
  <c r="AA71" i="22"/>
  <c r="AA70" i="23"/>
  <c r="Z70" i="23"/>
  <c r="Z74" i="23" s="1"/>
  <c r="CA62" i="26" s="1"/>
  <c r="AA70" i="24"/>
  <c r="Z70" i="24"/>
  <c r="AO7" i="37"/>
  <c r="AS7" i="37" s="1"/>
  <c r="W7" i="37" s="1"/>
  <c r="AO18" i="37"/>
  <c r="AS18" i="37" s="1"/>
  <c r="AO9" i="37"/>
  <c r="AS9" i="37" s="1"/>
  <c r="AO11" i="37"/>
  <c r="AS11" i="37" s="1"/>
  <c r="AO10" i="37"/>
  <c r="AS10" i="37" s="1"/>
  <c r="AO12" i="37"/>
  <c r="AS12" i="37" s="1"/>
  <c r="AO17" i="37"/>
  <c r="AS17" i="37" s="1"/>
  <c r="AO15" i="37"/>
  <c r="AS15" i="37" s="1"/>
  <c r="AO16" i="37"/>
  <c r="AS16" i="37" s="1"/>
  <c r="AO13" i="37"/>
  <c r="AS13" i="37" s="1"/>
  <c r="AO19" i="37"/>
  <c r="AS19" i="37" s="1"/>
  <c r="AO14" i="37"/>
  <c r="AS14" i="37" s="1"/>
  <c r="AO23" i="37"/>
  <c r="AS23" i="37" s="1"/>
  <c r="AO20" i="37"/>
  <c r="AS20" i="37" s="1"/>
  <c r="AO22" i="37"/>
  <c r="AS22" i="37" s="1"/>
  <c r="AO21" i="37"/>
  <c r="AS21" i="37" s="1"/>
  <c r="AO24" i="37"/>
  <c r="AS24" i="37" s="1"/>
  <c r="AO25" i="37"/>
  <c r="AS25" i="37" s="1"/>
  <c r="AO28" i="37"/>
  <c r="AS28" i="37" s="1"/>
  <c r="AO26" i="37"/>
  <c r="AS26" i="37" s="1"/>
  <c r="AO27" i="37"/>
  <c r="AS27" i="37" s="1"/>
  <c r="AP5" i="37"/>
  <c r="AT5" i="37" s="1"/>
  <c r="X5" i="37" s="1"/>
  <c r="AP16" i="37"/>
  <c r="AT16" i="37" s="1"/>
  <c r="AP8" i="37"/>
  <c r="AT8" i="37" s="1"/>
  <c r="AP14" i="37"/>
  <c r="AT14" i="37" s="1"/>
  <c r="AP13" i="37"/>
  <c r="AT13" i="37" s="1"/>
  <c r="AP9" i="37"/>
  <c r="AT9" i="37" s="1"/>
  <c r="AP18" i="37"/>
  <c r="AT18" i="37" s="1"/>
  <c r="AP6" i="37"/>
  <c r="AT6" i="37" s="1"/>
  <c r="AP10" i="37"/>
  <c r="AT10" i="37" s="1"/>
  <c r="AP15" i="37"/>
  <c r="AT15" i="37" s="1"/>
  <c r="AP12" i="37"/>
  <c r="AT12" i="37" s="1"/>
  <c r="AP11" i="37"/>
  <c r="AT11" i="37" s="1"/>
  <c r="AP7" i="37"/>
  <c r="AT7" i="37" s="1"/>
  <c r="AP17" i="37"/>
  <c r="AT17" i="37" s="1"/>
  <c r="AP19" i="37"/>
  <c r="AT19" i="37" s="1"/>
  <c r="AP20" i="37"/>
  <c r="AT20" i="37" s="1"/>
  <c r="AP21" i="37"/>
  <c r="AT21" i="37" s="1"/>
  <c r="AP22" i="37"/>
  <c r="AT22" i="37" s="1"/>
  <c r="AP24" i="37"/>
  <c r="AT24" i="37" s="1"/>
  <c r="AP23" i="37"/>
  <c r="AT23" i="37" s="1"/>
  <c r="AP25" i="37"/>
  <c r="AT25" i="37" s="1"/>
  <c r="AP26" i="37"/>
  <c r="AT26" i="37" s="1"/>
  <c r="AP27" i="37"/>
  <c r="AT27" i="37" s="1"/>
  <c r="AP28" i="37"/>
  <c r="AT28" i="37" s="1"/>
  <c r="AE70" i="24"/>
  <c r="AE71" i="24" s="1"/>
  <c r="O70" i="24"/>
  <c r="N70" i="24"/>
  <c r="N71" i="24" s="1"/>
  <c r="Q70" i="24"/>
  <c r="Q71" i="24" s="1"/>
  <c r="M70" i="24"/>
  <c r="M71" i="24" s="1"/>
  <c r="W70" i="24"/>
  <c r="P70" i="24"/>
  <c r="P71" i="24" s="1"/>
  <c r="AE70" i="23"/>
  <c r="Q70" i="23"/>
  <c r="Q71" i="23" s="1"/>
  <c r="M70" i="23"/>
  <c r="M71" i="23" s="1"/>
  <c r="P70" i="23"/>
  <c r="P71" i="23" s="1"/>
  <c r="O70" i="23"/>
  <c r="N70" i="23"/>
  <c r="N71" i="23" s="1"/>
  <c r="W70" i="23"/>
  <c r="F70" i="21"/>
  <c r="F70" i="14" s="1"/>
  <c r="AH69" i="36"/>
  <c r="AG69" i="36"/>
  <c r="AG69" i="14" s="1"/>
  <c r="AC68" i="14"/>
  <c r="P69" i="14"/>
  <c r="N69" i="14"/>
  <c r="Z69" i="14"/>
  <c r="X69" i="14"/>
  <c r="W69" i="14"/>
  <c r="Q69" i="14"/>
  <c r="M69" i="14"/>
  <c r="AE69" i="14"/>
  <c r="T69" i="24"/>
  <c r="Y69" i="14"/>
  <c r="AC69" i="24"/>
  <c r="Y70" i="24"/>
  <c r="Y71" i="24" s="1"/>
  <c r="X70" i="24"/>
  <c r="X71" i="24" s="1"/>
  <c r="O69" i="14"/>
  <c r="AM66" i="36"/>
  <c r="AK66" i="14"/>
  <c r="R69" i="14"/>
  <c r="R70" i="20"/>
  <c r="G70" i="20"/>
  <c r="AH68" i="14"/>
  <c r="AY68" i="14" s="1"/>
  <c r="AJ68" i="14"/>
  <c r="AK67" i="14"/>
  <c r="AK70" i="22"/>
  <c r="AK71" i="22" s="1"/>
  <c r="AI69" i="36"/>
  <c r="AI69" i="14" s="1"/>
  <c r="C70" i="36"/>
  <c r="AE71" i="22"/>
  <c r="Y70" i="23"/>
  <c r="Y71" i="23" s="1"/>
  <c r="X70" i="23"/>
  <c r="X71" i="23" s="1"/>
  <c r="R70" i="21"/>
  <c r="T70" i="21" s="1"/>
  <c r="T71" i="21" s="1"/>
  <c r="AF71" i="14"/>
  <c r="AK69" i="23"/>
  <c r="T69" i="20"/>
  <c r="AC69" i="23"/>
  <c r="Y71" i="22"/>
  <c r="X71" i="22"/>
  <c r="AC16" i="22"/>
  <c r="AC13" i="22"/>
  <c r="AC11" i="22"/>
  <c r="AC20" i="22"/>
  <c r="AT20" i="20" s="1"/>
  <c r="AC24" i="22"/>
  <c r="AT24" i="20" s="1"/>
  <c r="AC28" i="22"/>
  <c r="AT28" i="20" s="1"/>
  <c r="AC17" i="22"/>
  <c r="AC25" i="22"/>
  <c r="AT25" i="20" s="1"/>
  <c r="AC23" i="22"/>
  <c r="AT23" i="20" s="1"/>
  <c r="AC19" i="22"/>
  <c r="AT19" i="20" s="1"/>
  <c r="AC15" i="22"/>
  <c r="AC39" i="22"/>
  <c r="AT39" i="20" s="1"/>
  <c r="AC30" i="22"/>
  <c r="AT30" i="20" s="1"/>
  <c r="AC27" i="22"/>
  <c r="AT27" i="20" s="1"/>
  <c r="AC38" i="22"/>
  <c r="AT38" i="20" s="1"/>
  <c r="AC32" i="22"/>
  <c r="AT32" i="20" s="1"/>
  <c r="AC7" i="22"/>
  <c r="AC37" i="22"/>
  <c r="AT37" i="20" s="1"/>
  <c r="AC33" i="22"/>
  <c r="AT33" i="20" s="1"/>
  <c r="AC21" i="22"/>
  <c r="AT21" i="20" s="1"/>
  <c r="AC26" i="22"/>
  <c r="AT26" i="20" s="1"/>
  <c r="AC36" i="22"/>
  <c r="AT36" i="20" s="1"/>
  <c r="AC29" i="22"/>
  <c r="AT29" i="20" s="1"/>
  <c r="AC8" i="22"/>
  <c r="AC22" i="22"/>
  <c r="AT22" i="20" s="1"/>
  <c r="AC31" i="22"/>
  <c r="AT31" i="20" s="1"/>
  <c r="AC34" i="22"/>
  <c r="AT34" i="20" s="1"/>
  <c r="AC12" i="22"/>
  <c r="AC35" i="22"/>
  <c r="AT35" i="20" s="1"/>
  <c r="AC14" i="22"/>
  <c r="AC18" i="22"/>
  <c r="O71" i="22"/>
  <c r="N71" i="22"/>
  <c r="AC70" i="22"/>
  <c r="W71" i="22"/>
  <c r="T69" i="23"/>
  <c r="Q71" i="22"/>
  <c r="P71" i="22"/>
  <c r="T70" i="22"/>
  <c r="M71" i="22"/>
  <c r="AT69" i="36" l="1"/>
  <c r="AU69" i="36" s="1"/>
  <c r="AJ69" i="36" s="1"/>
  <c r="AS70" i="36"/>
  <c r="AQ70" i="36"/>
  <c r="AR70" i="36"/>
  <c r="Z71" i="22"/>
  <c r="CB64" i="26"/>
  <c r="W6" i="37"/>
  <c r="J6" i="37" s="1"/>
  <c r="W5" i="37"/>
  <c r="J5" i="37" s="1"/>
  <c r="Z8" i="23" s="1"/>
  <c r="AA74" i="23"/>
  <c r="CZ96" i="26"/>
  <c r="DA97" i="26"/>
  <c r="DK97" i="26" s="1"/>
  <c r="CY96" i="26"/>
  <c r="DB97" i="26"/>
  <c r="DL97" i="26" s="1"/>
  <c r="DA96" i="26"/>
  <c r="DB96" i="26"/>
  <c r="CZ97" i="26"/>
  <c r="DJ97" i="26" s="1"/>
  <c r="CX96" i="26"/>
  <c r="CX97" i="26"/>
  <c r="DH97" i="26" s="1"/>
  <c r="CY97" i="26"/>
  <c r="DI97" i="26" s="1"/>
  <c r="CW97" i="26"/>
  <c r="DG97" i="26" s="1"/>
  <c r="CW96" i="26"/>
  <c r="X7" i="37"/>
  <c r="N7" i="37" s="1"/>
  <c r="N29" i="37" s="1"/>
  <c r="X6" i="37"/>
  <c r="N6" i="37" s="1"/>
  <c r="AU29" i="20"/>
  <c r="AU32" i="20"/>
  <c r="AU25" i="20"/>
  <c r="AU36" i="20"/>
  <c r="AU38" i="20"/>
  <c r="AU21" i="20"/>
  <c r="AT69" i="20"/>
  <c r="AU69" i="20" s="1"/>
  <c r="AU34" i="20"/>
  <c r="AU22" i="20"/>
  <c r="AU35" i="20"/>
  <c r="AU26" i="20"/>
  <c r="AU27" i="20"/>
  <c r="AU28" i="20"/>
  <c r="AU23" i="20"/>
  <c r="AU30" i="20"/>
  <c r="AU20" i="20"/>
  <c r="AU24" i="20"/>
  <c r="AU33" i="20"/>
  <c r="AU39" i="20"/>
  <c r="AU40" i="20"/>
  <c r="AU31" i="20"/>
  <c r="AU37" i="20"/>
  <c r="Z16" i="23"/>
  <c r="AC16" i="23" s="1"/>
  <c r="Z17" i="23"/>
  <c r="AW71" i="21"/>
  <c r="AW73" i="21" s="1"/>
  <c r="AW74" i="21" s="1"/>
  <c r="H49" i="21" s="1"/>
  <c r="AV70" i="20"/>
  <c r="E70" i="20"/>
  <c r="AV69" i="20"/>
  <c r="E69" i="20"/>
  <c r="CZ56" i="26"/>
  <c r="CX56" i="26"/>
  <c r="CY56" i="26"/>
  <c r="DA56" i="26"/>
  <c r="DB56" i="26"/>
  <c r="CW56" i="26"/>
  <c r="BU49" i="26"/>
  <c r="BU53" i="26"/>
  <c r="BU48" i="26"/>
  <c r="BU47" i="26"/>
  <c r="BU46" i="26"/>
  <c r="BU50" i="26"/>
  <c r="BU54" i="26"/>
  <c r="BU45" i="26"/>
  <c r="BU52" i="26"/>
  <c r="BT47" i="26"/>
  <c r="BT46" i="26"/>
  <c r="BT54" i="26"/>
  <c r="BT45" i="26"/>
  <c r="BT49" i="26"/>
  <c r="BT50" i="26"/>
  <c r="BT53" i="26"/>
  <c r="BT52" i="26"/>
  <c r="BT48" i="26"/>
  <c r="CY44" i="26"/>
  <c r="CZ52" i="26"/>
  <c r="DB49" i="26"/>
  <c r="DA47" i="26"/>
  <c r="CZ45" i="26"/>
  <c r="CX49" i="26"/>
  <c r="CW48" i="26"/>
  <c r="CZ53" i="26"/>
  <c r="DA45" i="26"/>
  <c r="CX47" i="26"/>
  <c r="CW46" i="26"/>
  <c r="DB52" i="26"/>
  <c r="CZ48" i="26"/>
  <c r="CX44" i="26"/>
  <c r="CW53" i="26"/>
  <c r="CY45" i="26"/>
  <c r="DA52" i="26"/>
  <c r="DA48" i="26"/>
  <c r="CW49" i="26"/>
  <c r="CY52" i="26"/>
  <c r="DB48" i="26"/>
  <c r="DA46" i="26"/>
  <c r="CZ44" i="26"/>
  <c r="CX48" i="26"/>
  <c r="CW47" i="26"/>
  <c r="DB47" i="26"/>
  <c r="CY49" i="26"/>
  <c r="DB44" i="26"/>
  <c r="DA49" i="26"/>
  <c r="CZ46" i="26"/>
  <c r="CY53" i="26"/>
  <c r="DB46" i="26"/>
  <c r="DA44" i="26"/>
  <c r="CY48" i="26"/>
  <c r="CX46" i="26"/>
  <c r="DB53" i="26"/>
  <c r="CX53" i="26"/>
  <c r="DB45" i="26"/>
  <c r="CZ49" i="26"/>
  <c r="CY47" i="26"/>
  <c r="CX45" i="26"/>
  <c r="CX52" i="26"/>
  <c r="CY46" i="26"/>
  <c r="DA53" i="26"/>
  <c r="CZ47" i="26"/>
  <c r="CW52" i="26"/>
  <c r="CB57" i="26"/>
  <c r="BZ57" i="26"/>
  <c r="CW45" i="26"/>
  <c r="CW44" i="26"/>
  <c r="BZ56" i="26"/>
  <c r="CR44" i="26"/>
  <c r="CR45" i="26"/>
  <c r="CR49" i="26" s="1"/>
  <c r="CM46" i="26"/>
  <c r="CM50" i="26" s="1"/>
  <c r="BI61" i="26"/>
  <c r="BG79" i="26" s="1"/>
  <c r="CM45" i="26"/>
  <c r="CM49" i="26" s="1"/>
  <c r="CM44" i="26"/>
  <c r="CH46" i="26"/>
  <c r="CH50" i="26"/>
  <c r="CH49" i="26"/>
  <c r="CH45" i="26"/>
  <c r="BI62" i="26"/>
  <c r="BG80" i="26" s="1"/>
  <c r="AT46" i="26"/>
  <c r="BG50" i="26"/>
  <c r="BG46" i="26"/>
  <c r="BH54" i="26"/>
  <c r="BH49" i="26"/>
  <c r="BH45" i="26"/>
  <c r="BG54" i="26"/>
  <c r="BG49" i="26"/>
  <c r="BG45" i="26"/>
  <c r="BH53" i="26"/>
  <c r="BH50" i="26"/>
  <c r="BH48" i="26"/>
  <c r="BG53" i="26"/>
  <c r="BG48" i="26"/>
  <c r="BH52" i="26"/>
  <c r="BH47" i="26"/>
  <c r="BG52" i="26"/>
  <c r="BG47" i="26"/>
  <c r="BH46" i="26"/>
  <c r="AA70" i="14"/>
  <c r="CA46" i="26"/>
  <c r="CA45" i="26"/>
  <c r="BZ55" i="26"/>
  <c r="BZ45" i="26"/>
  <c r="BZ47" i="26"/>
  <c r="BZ48" i="26"/>
  <c r="CA49" i="26"/>
  <c r="BZ54" i="26"/>
  <c r="CB53" i="26"/>
  <c r="CB48" i="26"/>
  <c r="BZ49" i="26"/>
  <c r="BZ53" i="26"/>
  <c r="BG82" i="26" s="1"/>
  <c r="CB54" i="26"/>
  <c r="CA54" i="26"/>
  <c r="CB49" i="26"/>
  <c r="CA53" i="26"/>
  <c r="CB45" i="26"/>
  <c r="BZ46" i="26"/>
  <c r="CA48" i="26"/>
  <c r="CB46" i="26"/>
  <c r="BZ52" i="26"/>
  <c r="J7" i="37"/>
  <c r="N5" i="37"/>
  <c r="AV48" i="26"/>
  <c r="AV47" i="26"/>
  <c r="AX51" i="26"/>
  <c r="AT51" i="26"/>
  <c r="AX50" i="26"/>
  <c r="AX44" i="26"/>
  <c r="AY51" i="26"/>
  <c r="AX47" i="26"/>
  <c r="AU50" i="26"/>
  <c r="AT48" i="26"/>
  <c r="AX45" i="26"/>
  <c r="AX46" i="26"/>
  <c r="AW51" i="26"/>
  <c r="AW50" i="26"/>
  <c r="AW45" i="26"/>
  <c r="AX48" i="26"/>
  <c r="AX49" i="26"/>
  <c r="AV45" i="26"/>
  <c r="AT49" i="26"/>
  <c r="AV51" i="26"/>
  <c r="AV49" i="26"/>
  <c r="AT50" i="26"/>
  <c r="AV44" i="26"/>
  <c r="AU51" i="26"/>
  <c r="AT47" i="26"/>
  <c r="AW44" i="26"/>
  <c r="AV46" i="26"/>
  <c r="AH70" i="36"/>
  <c r="AG70" i="36"/>
  <c r="O70" i="14"/>
  <c r="O71" i="14" s="1"/>
  <c r="W70" i="14"/>
  <c r="W71" i="14" s="1"/>
  <c r="AC69" i="14"/>
  <c r="AK70" i="24"/>
  <c r="AK71" i="24" s="1"/>
  <c r="AC70" i="24"/>
  <c r="W71" i="24"/>
  <c r="T70" i="24"/>
  <c r="O71" i="24"/>
  <c r="AW46" i="26"/>
  <c r="AM67" i="36"/>
  <c r="N70" i="14"/>
  <c r="N71" i="14" s="1"/>
  <c r="AE70" i="14"/>
  <c r="M70" i="14"/>
  <c r="M71" i="14" s="1"/>
  <c r="P70" i="14"/>
  <c r="P71" i="14" s="1"/>
  <c r="Q70" i="14"/>
  <c r="Q71" i="14" s="1"/>
  <c r="X70" i="14"/>
  <c r="X71" i="14" s="1"/>
  <c r="Z70" i="14"/>
  <c r="Y70" i="14"/>
  <c r="Y71" i="14" s="1"/>
  <c r="AC36" i="14"/>
  <c r="AC35" i="14"/>
  <c r="AC26" i="14"/>
  <c r="AC27" i="14"/>
  <c r="AC28" i="14"/>
  <c r="AC21" i="14"/>
  <c r="AC24" i="14"/>
  <c r="AC33" i="14"/>
  <c r="AC20" i="14"/>
  <c r="R70" i="14"/>
  <c r="AC31" i="14"/>
  <c r="AC37" i="14"/>
  <c r="AC38" i="14"/>
  <c r="AC30" i="14"/>
  <c r="AC22" i="14"/>
  <c r="AC19" i="14"/>
  <c r="AD7" i="22"/>
  <c r="AC23" i="14"/>
  <c r="AC34" i="14"/>
  <c r="AC39" i="14"/>
  <c r="AC29" i="14"/>
  <c r="AC32" i="14"/>
  <c r="AC25" i="14"/>
  <c r="G70" i="14"/>
  <c r="G71" i="20"/>
  <c r="AJ69" i="14"/>
  <c r="AH69" i="14"/>
  <c r="AY69" i="14" s="1"/>
  <c r="AK68" i="36"/>
  <c r="AL68" i="36" s="1"/>
  <c r="S71" i="14"/>
  <c r="AI70" i="36"/>
  <c r="AK69" i="36"/>
  <c r="R71" i="21"/>
  <c r="AK70" i="23"/>
  <c r="AE71" i="23"/>
  <c r="T70" i="20"/>
  <c r="R71" i="20"/>
  <c r="AC71" i="22"/>
  <c r="AC70" i="23"/>
  <c r="W71" i="23"/>
  <c r="T70" i="23"/>
  <c r="O71" i="23"/>
  <c r="T71" i="22"/>
  <c r="BG81" i="26" l="1"/>
  <c r="AT70" i="36"/>
  <c r="AU70" i="36" s="1"/>
  <c r="AJ70" i="36" s="1"/>
  <c r="AK70" i="36" s="1"/>
  <c r="AK70" i="14" s="1"/>
  <c r="Z10" i="23"/>
  <c r="AC10" i="23" s="1"/>
  <c r="Z15" i="23"/>
  <c r="Z9" i="23"/>
  <c r="AC9" i="23" s="1"/>
  <c r="Z14" i="23"/>
  <c r="AA6" i="24"/>
  <c r="AA6" i="25"/>
  <c r="AA6" i="23"/>
  <c r="AA7" i="25"/>
  <c r="AA9" i="25"/>
  <c r="Z7" i="23"/>
  <c r="AA8" i="25"/>
  <c r="Z7" i="24"/>
  <c r="Z10" i="25"/>
  <c r="Z9" i="25"/>
  <c r="AA7" i="24"/>
  <c r="Z7" i="25"/>
  <c r="Z8" i="24"/>
  <c r="AA9" i="24"/>
  <c r="AA8" i="24"/>
  <c r="Z12" i="25"/>
  <c r="Z9" i="24"/>
  <c r="AA7" i="23"/>
  <c r="Z8" i="25"/>
  <c r="AA13" i="25"/>
  <c r="AA13" i="14" s="1"/>
  <c r="AA10" i="24"/>
  <c r="AA12" i="25"/>
  <c r="AA12" i="14" s="1"/>
  <c r="AA11" i="25"/>
  <c r="AA11" i="14" s="1"/>
  <c r="Z11" i="25"/>
  <c r="AA10" i="25"/>
  <c r="Z13" i="25"/>
  <c r="AA14" i="25"/>
  <c r="Z10" i="24"/>
  <c r="CR98" i="26"/>
  <c r="CX98" i="26" s="1"/>
  <c r="CX99" i="26" s="1"/>
  <c r="DH99" i="26" s="1"/>
  <c r="CA63" i="26"/>
  <c r="CA64" i="26" s="1"/>
  <c r="BZ65" i="26" s="1"/>
  <c r="AT70" i="20"/>
  <c r="AU70" i="20" s="1"/>
  <c r="AC8" i="23"/>
  <c r="W29" i="37"/>
  <c r="DB99" i="26"/>
  <c r="DL99" i="26" s="1"/>
  <c r="DI96" i="26"/>
  <c r="DJ96" i="26"/>
  <c r="DH96" i="26"/>
  <c r="DL96" i="26"/>
  <c r="DK96" i="26"/>
  <c r="DG96" i="26"/>
  <c r="X29" i="37"/>
  <c r="Z16" i="14"/>
  <c r="AT16" i="20"/>
  <c r="AC16" i="14"/>
  <c r="Z18" i="23"/>
  <c r="Z18" i="14" s="1"/>
  <c r="Z13" i="23"/>
  <c r="Z11" i="23"/>
  <c r="AC11" i="23" s="1"/>
  <c r="Z17" i="14"/>
  <c r="AC17" i="23"/>
  <c r="AT17" i="20" s="1"/>
  <c r="H54" i="21"/>
  <c r="H70" i="21"/>
  <c r="H53" i="21"/>
  <c r="H65" i="21"/>
  <c r="H64" i="21"/>
  <c r="H63" i="21"/>
  <c r="H62" i="21"/>
  <c r="H61" i="21"/>
  <c r="H52" i="21"/>
  <c r="H48" i="21"/>
  <c r="H55" i="21"/>
  <c r="H69" i="21"/>
  <c r="H60" i="21"/>
  <c r="H47" i="21"/>
  <c r="H68" i="21"/>
  <c r="H57" i="21"/>
  <c r="H46" i="21"/>
  <c r="H66" i="21"/>
  <c r="H56" i="21"/>
  <c r="H45" i="21"/>
  <c r="H67" i="21"/>
  <c r="H59" i="21"/>
  <c r="H51" i="21"/>
  <c r="H58" i="21"/>
  <c r="H50" i="21"/>
  <c r="AV71" i="20"/>
  <c r="AW71" i="20"/>
  <c r="BT56" i="26"/>
  <c r="BN46" i="26" s="1"/>
  <c r="BT51" i="26"/>
  <c r="BN45" i="26" s="1"/>
  <c r="BU56" i="26"/>
  <c r="BO46" i="26" s="1"/>
  <c r="BU51" i="26"/>
  <c r="CY51" i="26"/>
  <c r="CX54" i="26"/>
  <c r="DA54" i="26"/>
  <c r="CW54" i="26"/>
  <c r="CY54" i="26"/>
  <c r="DB54" i="26"/>
  <c r="CZ54" i="26"/>
  <c r="DA51" i="26"/>
  <c r="DB51" i="26"/>
  <c r="CX51" i="26"/>
  <c r="CZ51" i="26"/>
  <c r="CW51" i="26"/>
  <c r="CW55" i="26" s="1"/>
  <c r="CW57" i="26" s="1"/>
  <c r="CA57" i="26"/>
  <c r="CR47" i="26"/>
  <c r="CR48" i="26"/>
  <c r="CM47" i="26"/>
  <c r="CM48" i="26"/>
  <c r="CM51" i="26" s="1"/>
  <c r="BM51" i="26" s="1"/>
  <c r="BM65" i="26" s="1"/>
  <c r="BI53" i="26"/>
  <c r="BI47" i="26"/>
  <c r="BI45" i="26"/>
  <c r="BG73" i="26" s="1"/>
  <c r="BI46" i="26"/>
  <c r="BG74" i="26" s="1"/>
  <c r="BI50" i="26"/>
  <c r="BG76" i="26" s="1"/>
  <c r="BI52" i="26"/>
  <c r="BI49" i="26"/>
  <c r="BI54" i="26"/>
  <c r="BI48" i="26"/>
  <c r="J29" i="37"/>
  <c r="Z12" i="23"/>
  <c r="BZ51" i="26"/>
  <c r="BG56" i="26"/>
  <c r="BG51" i="26"/>
  <c r="CB47" i="26"/>
  <c r="CB51" i="26" s="1"/>
  <c r="CA47" i="26"/>
  <c r="CA51" i="26" s="1"/>
  <c r="BH51" i="26"/>
  <c r="CB52" i="26"/>
  <c r="BZ58" i="26"/>
  <c r="CA52" i="26"/>
  <c r="AG70" i="14"/>
  <c r="AG71" i="36"/>
  <c r="T71" i="24"/>
  <c r="AM68" i="36"/>
  <c r="AL7" i="22"/>
  <c r="AC70" i="14"/>
  <c r="AK68" i="14"/>
  <c r="AH70" i="14"/>
  <c r="AI70" i="14"/>
  <c r="AI71" i="14" s="1"/>
  <c r="AH71" i="36"/>
  <c r="AL69" i="36"/>
  <c r="AK69" i="14"/>
  <c r="AI71" i="36"/>
  <c r="AK71" i="23"/>
  <c r="T71" i="20"/>
  <c r="T71" i="23"/>
  <c r="BG77" i="26" l="1"/>
  <c r="AA8" i="14"/>
  <c r="AC8" i="25"/>
  <c r="Z9" i="14"/>
  <c r="AA9" i="14"/>
  <c r="AC14" i="23"/>
  <c r="Z14" i="14"/>
  <c r="AC15" i="23"/>
  <c r="Z15" i="14"/>
  <c r="AC13" i="25"/>
  <c r="Z8" i="14"/>
  <c r="AU17" i="20"/>
  <c r="Z10" i="14"/>
  <c r="AA10" i="14"/>
  <c r="AA7" i="14"/>
  <c r="CW98" i="26"/>
  <c r="CW99" i="26" s="1"/>
  <c r="DG99" i="26" s="1"/>
  <c r="AC11" i="25"/>
  <c r="AC11" i="14" s="1"/>
  <c r="AC12" i="25"/>
  <c r="AC7" i="24"/>
  <c r="AD7" i="24" s="1"/>
  <c r="AL7" i="24" s="1"/>
  <c r="Z71" i="24"/>
  <c r="CB55" i="26" s="1"/>
  <c r="AC7" i="23"/>
  <c r="Z7" i="14"/>
  <c r="AC8" i="24"/>
  <c r="AC10" i="24"/>
  <c r="AC7" i="25"/>
  <c r="AD7" i="25" s="1"/>
  <c r="AL7" i="25" s="1"/>
  <c r="Z71" i="25"/>
  <c r="CC55" i="26" s="1"/>
  <c r="AA14" i="14"/>
  <c r="AC14" i="25"/>
  <c r="AA6" i="14"/>
  <c r="AC6" i="23"/>
  <c r="AA71" i="23"/>
  <c r="CA56" i="26" s="1"/>
  <c r="BG75" i="26"/>
  <c r="AC9" i="25"/>
  <c r="AC6" i="25"/>
  <c r="AA71" i="25"/>
  <c r="CC56" i="26" s="1"/>
  <c r="AC9" i="24"/>
  <c r="AC10" i="25"/>
  <c r="AC6" i="24"/>
  <c r="AA71" i="24"/>
  <c r="CB56" i="26" s="1"/>
  <c r="CY98" i="26"/>
  <c r="CY99" i="26" s="1"/>
  <c r="DI99" i="26" s="1"/>
  <c r="CZ98" i="26"/>
  <c r="CZ99" i="26" s="1"/>
  <c r="DJ99" i="26" s="1"/>
  <c r="DA98" i="26"/>
  <c r="DA99" i="26" s="1"/>
  <c r="DK99" i="26" s="1"/>
  <c r="AC18" i="23"/>
  <c r="AT18" i="20" s="1"/>
  <c r="AU18" i="20" s="1"/>
  <c r="Z11" i="14"/>
  <c r="BM46" i="26"/>
  <c r="BM60" i="26" s="1"/>
  <c r="AC13" i="23"/>
  <c r="Z13" i="14"/>
  <c r="AC17" i="14"/>
  <c r="AX71" i="20"/>
  <c r="AX73" i="20" s="1"/>
  <c r="AX74" i="20" s="1"/>
  <c r="H37" i="20" s="1"/>
  <c r="CX55" i="26"/>
  <c r="CX57" i="26" s="1"/>
  <c r="BT57" i="26"/>
  <c r="BU57" i="26"/>
  <c r="BO45" i="26"/>
  <c r="BO47" i="26" s="1"/>
  <c r="BN47" i="26"/>
  <c r="DA55" i="26"/>
  <c r="DA57" i="26" s="1"/>
  <c r="CY55" i="26"/>
  <c r="CY57" i="26" s="1"/>
  <c r="DB55" i="26"/>
  <c r="DB57" i="26" s="1"/>
  <c r="CZ55" i="26"/>
  <c r="CZ57" i="26" s="1"/>
  <c r="AG71" i="14"/>
  <c r="CR51" i="26"/>
  <c r="CM52" i="26"/>
  <c r="BI51" i="26"/>
  <c r="BG57" i="26"/>
  <c r="AC12" i="23"/>
  <c r="Z12" i="14"/>
  <c r="Z71" i="23"/>
  <c r="AH71" i="14"/>
  <c r="AY70" i="14"/>
  <c r="AM69" i="36"/>
  <c r="AM7" i="22"/>
  <c r="AK71" i="36"/>
  <c r="AX53" i="26" s="1"/>
  <c r="AJ70" i="14"/>
  <c r="AJ71" i="14" s="1"/>
  <c r="AJ71" i="36"/>
  <c r="AL70" i="36"/>
  <c r="AK71" i="14"/>
  <c r="AT8" i="20" l="1"/>
  <c r="AT12" i="20"/>
  <c r="AC10" i="14"/>
  <c r="CB58" i="26"/>
  <c r="AT15" i="20"/>
  <c r="AU16" i="20" s="1"/>
  <c r="AC15" i="14"/>
  <c r="AC9" i="14"/>
  <c r="AT10" i="20"/>
  <c r="AT11" i="20"/>
  <c r="AC8" i="14"/>
  <c r="CC58" i="26"/>
  <c r="AD7" i="23"/>
  <c r="AL7" i="23" s="1"/>
  <c r="AT7" i="20"/>
  <c r="AC7" i="14"/>
  <c r="AD6" i="25"/>
  <c r="AL6" i="25" s="1"/>
  <c r="AM6" i="25" s="1"/>
  <c r="AM7" i="25" s="1"/>
  <c r="AC71" i="25"/>
  <c r="AW49" i="26"/>
  <c r="AD6" i="24"/>
  <c r="AL6" i="24" s="1"/>
  <c r="AM6" i="24" s="1"/>
  <c r="AM7" i="24" s="1"/>
  <c r="AW48" i="26"/>
  <c r="AC71" i="24"/>
  <c r="AD6" i="23"/>
  <c r="AL6" i="23" s="1"/>
  <c r="AM6" i="23" s="1"/>
  <c r="AT6" i="20"/>
  <c r="AU6" i="20" s="1"/>
  <c r="AC6" i="14"/>
  <c r="AA71" i="14"/>
  <c r="AT9" i="20"/>
  <c r="AT14" i="20"/>
  <c r="AC14" i="14"/>
  <c r="AU19" i="20"/>
  <c r="AC18" i="14"/>
  <c r="Z71" i="14"/>
  <c r="AT13" i="20"/>
  <c r="AC13" i="14"/>
  <c r="H67" i="20"/>
  <c r="H53" i="20"/>
  <c r="H48" i="20"/>
  <c r="H54" i="20"/>
  <c r="H59" i="20"/>
  <c r="H65" i="20"/>
  <c r="H40" i="20"/>
  <c r="H46" i="20"/>
  <c r="H51" i="20"/>
  <c r="H57" i="20"/>
  <c r="H63" i="20"/>
  <c r="H38" i="20"/>
  <c r="H43" i="20"/>
  <c r="H49" i="20"/>
  <c r="H55" i="20"/>
  <c r="H61" i="20"/>
  <c r="H66" i="20"/>
  <c r="H41" i="20"/>
  <c r="H47" i="20"/>
  <c r="H60" i="20"/>
  <c r="H58" i="20"/>
  <c r="H39" i="20"/>
  <c r="H52" i="20"/>
  <c r="H50" i="20"/>
  <c r="H64" i="20"/>
  <c r="H45" i="20"/>
  <c r="H44" i="20"/>
  <c r="H42" i="20"/>
  <c r="H56" i="20"/>
  <c r="H62" i="20"/>
  <c r="H68" i="20"/>
  <c r="H69" i="20"/>
  <c r="H70" i="20"/>
  <c r="CR52" i="26"/>
  <c r="BM52" i="26"/>
  <c r="BM66" i="26" s="1"/>
  <c r="BM47" i="26"/>
  <c r="BM61" i="26" s="1"/>
  <c r="BM45" i="26"/>
  <c r="BM59" i="26" s="1"/>
  <c r="CA55" i="26"/>
  <c r="BG83" i="26" s="1"/>
  <c r="BH56" i="26"/>
  <c r="AW47" i="26"/>
  <c r="AC12" i="14"/>
  <c r="AC71" i="23"/>
  <c r="AM70" i="36"/>
  <c r="AL71" i="36"/>
  <c r="AU10" i="20" l="1"/>
  <c r="AU8" i="20"/>
  <c r="AU11" i="20"/>
  <c r="AU15" i="20"/>
  <c r="AU12" i="20"/>
  <c r="AW53" i="26"/>
  <c r="AU9" i="20"/>
  <c r="AU7" i="20"/>
  <c r="AM7" i="23"/>
  <c r="CA58" i="26"/>
  <c r="DH98" i="26"/>
  <c r="DI98" i="26"/>
  <c r="DJ98" i="26"/>
  <c r="DL98" i="26"/>
  <c r="DK98" i="26"/>
  <c r="DG98" i="26"/>
  <c r="AU13" i="20"/>
  <c r="W12" i="26" s="1"/>
  <c r="X11" i="26" s="1"/>
  <c r="AU14" i="20"/>
  <c r="BH57" i="26"/>
  <c r="BI57" i="26" s="1"/>
  <c r="BI56" i="26"/>
  <c r="W14" i="26" l="1"/>
  <c r="W15" i="26"/>
  <c r="K37" i="35" s="1"/>
  <c r="W13" i="26"/>
  <c r="E17" i="20"/>
  <c r="K61" i="35" l="1"/>
  <c r="K61" i="14" s="1"/>
  <c r="K29" i="35"/>
  <c r="T29" i="35" s="1"/>
  <c r="K15" i="35"/>
  <c r="K15" i="14" s="1"/>
  <c r="K21" i="35"/>
  <c r="K21" i="14" s="1"/>
  <c r="CZ92" i="26" s="1"/>
  <c r="K27" i="35"/>
  <c r="K27" i="14" s="1"/>
  <c r="K23" i="35"/>
  <c r="T23" i="35" s="1"/>
  <c r="K56" i="35"/>
  <c r="T56" i="35" s="1"/>
  <c r="K70" i="35"/>
  <c r="K70" i="14" s="1"/>
  <c r="AS70" i="14" s="1"/>
  <c r="K68" i="35"/>
  <c r="K68" i="14" s="1"/>
  <c r="K19" i="35"/>
  <c r="T19" i="35" s="1"/>
  <c r="K54" i="35"/>
  <c r="T54" i="35" s="1"/>
  <c r="K55" i="35"/>
  <c r="T55" i="35" s="1"/>
  <c r="K46" i="35"/>
  <c r="K46" i="14" s="1"/>
  <c r="K28" i="35"/>
  <c r="T28" i="35" s="1"/>
  <c r="K26" i="35"/>
  <c r="K26" i="14" s="1"/>
  <c r="DA92" i="26" s="1"/>
  <c r="K31" i="35"/>
  <c r="K31" i="14" s="1"/>
  <c r="DB92" i="26" s="1"/>
  <c r="K14" i="35"/>
  <c r="K14" i="14" s="1"/>
  <c r="K44" i="35"/>
  <c r="K44" i="14" s="1"/>
  <c r="K47" i="35"/>
  <c r="K47" i="14" s="1"/>
  <c r="K38" i="35"/>
  <c r="K38" i="14" s="1"/>
  <c r="K20" i="35"/>
  <c r="K20" i="14" s="1"/>
  <c r="K65" i="35"/>
  <c r="K65" i="14" s="1"/>
  <c r="K22" i="35"/>
  <c r="K22" i="14" s="1"/>
  <c r="K32" i="35"/>
  <c r="K32" i="14" s="1"/>
  <c r="K50" i="35"/>
  <c r="K50" i="14" s="1"/>
  <c r="K39" i="35"/>
  <c r="K39" i="14" s="1"/>
  <c r="K30" i="35"/>
  <c r="K30" i="14" s="1"/>
  <c r="K40" i="35"/>
  <c r="T40" i="35" s="1"/>
  <c r="K17" i="35"/>
  <c r="T17" i="35" s="1"/>
  <c r="K60" i="35"/>
  <c r="T60" i="35" s="1"/>
  <c r="K48" i="35"/>
  <c r="T48" i="35" s="1"/>
  <c r="K42" i="35"/>
  <c r="K42" i="14" s="1"/>
  <c r="K57" i="35"/>
  <c r="T57" i="35" s="1"/>
  <c r="K52" i="35"/>
  <c r="T52" i="35" s="1"/>
  <c r="K67" i="35"/>
  <c r="K67" i="14" s="1"/>
  <c r="K24" i="35"/>
  <c r="K24" i="14" s="1"/>
  <c r="K34" i="35"/>
  <c r="K34" i="14" s="1"/>
  <c r="K49" i="35"/>
  <c r="K49" i="14" s="1"/>
  <c r="K59" i="35"/>
  <c r="K59" i="14" s="1"/>
  <c r="K63" i="35"/>
  <c r="T63" i="35" s="1"/>
  <c r="K41" i="35"/>
  <c r="K41" i="14" s="1"/>
  <c r="K36" i="35"/>
  <c r="K36" i="14" s="1"/>
  <c r="K51" i="35"/>
  <c r="K51" i="14" s="1"/>
  <c r="K45" i="35"/>
  <c r="K45" i="14" s="1"/>
  <c r="K18" i="35"/>
  <c r="K18" i="14" s="1"/>
  <c r="K33" i="35"/>
  <c r="K33" i="14" s="1"/>
  <c r="K64" i="35"/>
  <c r="K64" i="14" s="1"/>
  <c r="K43" i="35"/>
  <c r="K43" i="14" s="1"/>
  <c r="K13" i="35"/>
  <c r="T13" i="35" s="1"/>
  <c r="K16" i="35"/>
  <c r="T16" i="35" s="1"/>
  <c r="K25" i="35"/>
  <c r="T25" i="35" s="1"/>
  <c r="K62" i="35"/>
  <c r="T62" i="35" s="1"/>
  <c r="K53" i="35"/>
  <c r="T53" i="35" s="1"/>
  <c r="K35" i="35"/>
  <c r="K35" i="14" s="1"/>
  <c r="K66" i="35"/>
  <c r="T66" i="35" s="1"/>
  <c r="K69" i="35"/>
  <c r="K69" i="14" s="1"/>
  <c r="K58" i="35"/>
  <c r="K58" i="14" s="1"/>
  <c r="K37" i="14"/>
  <c r="T37" i="35"/>
  <c r="E37" i="20"/>
  <c r="K29" i="14" l="1"/>
  <c r="K19" i="14"/>
  <c r="T44" i="35"/>
  <c r="U44" i="35" s="1"/>
  <c r="AD44" i="35" s="1"/>
  <c r="AL44" i="35" s="1"/>
  <c r="K54" i="14"/>
  <c r="T30" i="35"/>
  <c r="U30" i="35" s="1"/>
  <c r="AD30" i="35" s="1"/>
  <c r="AL30" i="35" s="1"/>
  <c r="T47" i="35"/>
  <c r="U47" i="35" s="1"/>
  <c r="AD47" i="35" s="1"/>
  <c r="AL47" i="35" s="1"/>
  <c r="T15" i="35"/>
  <c r="T15" i="14" s="1"/>
  <c r="AV15" i="14" s="1"/>
  <c r="AX15" i="14" s="1"/>
  <c r="T51" i="35"/>
  <c r="U51" i="35" s="1"/>
  <c r="AD51" i="35" s="1"/>
  <c r="AL51" i="35" s="1"/>
  <c r="K40" i="14"/>
  <c r="DB94" i="26"/>
  <c r="DL94" i="26" s="1"/>
  <c r="DL92" i="26"/>
  <c r="DA94" i="26"/>
  <c r="DK94" i="26" s="1"/>
  <c r="DK92" i="26"/>
  <c r="CZ94" i="26"/>
  <c r="DJ94" i="26" s="1"/>
  <c r="DJ92" i="26"/>
  <c r="T68" i="35"/>
  <c r="U68" i="35" s="1"/>
  <c r="AD68" i="35" s="1"/>
  <c r="AL68" i="35" s="1"/>
  <c r="K16" i="14"/>
  <c r="CY92" i="26" s="1"/>
  <c r="K52" i="14"/>
  <c r="T36" i="35"/>
  <c r="T36" i="14" s="1"/>
  <c r="AV36" i="14" s="1"/>
  <c r="AX36" i="14" s="1"/>
  <c r="T39" i="35"/>
  <c r="U39" i="35" s="1"/>
  <c r="AD39" i="35" s="1"/>
  <c r="AL39" i="35" s="1"/>
  <c r="K57" i="14"/>
  <c r="T21" i="35"/>
  <c r="U21" i="35" s="1"/>
  <c r="AD21" i="35" s="1"/>
  <c r="AL21" i="35" s="1"/>
  <c r="T67" i="35"/>
  <c r="U67" i="35" s="1"/>
  <c r="AD67" i="35" s="1"/>
  <c r="AL67" i="35" s="1"/>
  <c r="K25" i="14"/>
  <c r="K17" i="14"/>
  <c r="T20" i="35"/>
  <c r="U20" i="35" s="1"/>
  <c r="AD20" i="35" s="1"/>
  <c r="AL20" i="35" s="1"/>
  <c r="T41" i="35"/>
  <c r="U41" i="35" s="1"/>
  <c r="AD41" i="35" s="1"/>
  <c r="AL41" i="35" s="1"/>
  <c r="K13" i="14"/>
  <c r="T14" i="35"/>
  <c r="T14" i="14" s="1"/>
  <c r="AV14" i="14" s="1"/>
  <c r="AX14" i="14" s="1"/>
  <c r="T61" i="35"/>
  <c r="U61" i="35" s="1"/>
  <c r="AD61" i="35" s="1"/>
  <c r="AL61" i="35" s="1"/>
  <c r="T50" i="35"/>
  <c r="U50" i="35" s="1"/>
  <c r="AD50" i="35" s="1"/>
  <c r="AL50" i="35" s="1"/>
  <c r="K28" i="14"/>
  <c r="K60" i="14"/>
  <c r="T45" i="35"/>
  <c r="U45" i="35" s="1"/>
  <c r="AD45" i="35" s="1"/>
  <c r="AL45" i="35" s="1"/>
  <c r="T46" i="35"/>
  <c r="T46" i="14" s="1"/>
  <c r="AV46" i="14" s="1"/>
  <c r="AX46" i="14" s="1"/>
  <c r="T49" i="35"/>
  <c r="U49" i="35" s="1"/>
  <c r="AD49" i="35" s="1"/>
  <c r="AL49" i="35" s="1"/>
  <c r="K62" i="14"/>
  <c r="K55" i="14"/>
  <c r="T70" i="35"/>
  <c r="U70" i="35" s="1"/>
  <c r="AD70" i="35" s="1"/>
  <c r="AL70" i="35" s="1"/>
  <c r="T24" i="35"/>
  <c r="T24" i="14" s="1"/>
  <c r="AV24" i="14" s="1"/>
  <c r="AX24" i="14" s="1"/>
  <c r="T38" i="35"/>
  <c r="U38" i="35" s="1"/>
  <c r="AD38" i="35" s="1"/>
  <c r="AL38" i="35" s="1"/>
  <c r="T27" i="35"/>
  <c r="U27" i="35" s="1"/>
  <c r="AD27" i="35" s="1"/>
  <c r="AL27" i="35" s="1"/>
  <c r="T31" i="35"/>
  <c r="T31" i="14" s="1"/>
  <c r="AV31" i="14" s="1"/>
  <c r="AX31" i="14" s="1"/>
  <c r="K63" i="14"/>
  <c r="T69" i="35"/>
  <c r="U69" i="35" s="1"/>
  <c r="AD69" i="35" s="1"/>
  <c r="AL69" i="35" s="1"/>
  <c r="T32" i="35"/>
  <c r="T32" i="14" s="1"/>
  <c r="AV32" i="14" s="1"/>
  <c r="AX32" i="14" s="1"/>
  <c r="T43" i="35"/>
  <c r="U43" i="35" s="1"/>
  <c r="AD43" i="35" s="1"/>
  <c r="AL43" i="35" s="1"/>
  <c r="T33" i="35"/>
  <c r="U33" i="35" s="1"/>
  <c r="AD33" i="35" s="1"/>
  <c r="AL33" i="35" s="1"/>
  <c r="T65" i="35"/>
  <c r="T65" i="14" s="1"/>
  <c r="AV65" i="14" s="1"/>
  <c r="AX65" i="14" s="1"/>
  <c r="T42" i="35"/>
  <c r="U42" i="35" s="1"/>
  <c r="AD42" i="35" s="1"/>
  <c r="AL42" i="35" s="1"/>
  <c r="T35" i="35"/>
  <c r="U35" i="35" s="1"/>
  <c r="AD35" i="35" s="1"/>
  <c r="AL35" i="35" s="1"/>
  <c r="K23" i="14"/>
  <c r="T26" i="35"/>
  <c r="U26" i="35" s="1"/>
  <c r="AD26" i="35" s="1"/>
  <c r="AL26" i="35" s="1"/>
  <c r="T22" i="35"/>
  <c r="U22" i="35" s="1"/>
  <c r="AD22" i="35" s="1"/>
  <c r="AL22" i="35" s="1"/>
  <c r="K66" i="14"/>
  <c r="AS66" i="14" s="1"/>
  <c r="K56" i="14"/>
  <c r="K48" i="14"/>
  <c r="T64" i="35"/>
  <c r="U64" i="35" s="1"/>
  <c r="AD64" i="35" s="1"/>
  <c r="AL64" i="35" s="1"/>
  <c r="T59" i="35"/>
  <c r="T59" i="14" s="1"/>
  <c r="AV59" i="14" s="1"/>
  <c r="AX59" i="14" s="1"/>
  <c r="T58" i="35"/>
  <c r="T58" i="14" s="1"/>
  <c r="AV58" i="14" s="1"/>
  <c r="AX58" i="14" s="1"/>
  <c r="K53" i="14"/>
  <c r="T18" i="35"/>
  <c r="U18" i="35" s="1"/>
  <c r="AD18" i="35" s="1"/>
  <c r="AL18" i="35" s="1"/>
  <c r="T34" i="35"/>
  <c r="U34" i="35" s="1"/>
  <c r="AD34" i="35" s="1"/>
  <c r="AL34" i="35" s="1"/>
  <c r="AS69" i="14"/>
  <c r="U66" i="35"/>
  <c r="AD66" i="35" s="1"/>
  <c r="AL66" i="35" s="1"/>
  <c r="T66" i="14"/>
  <c r="AV66" i="14" s="1"/>
  <c r="AX66" i="14" s="1"/>
  <c r="U63" i="35"/>
  <c r="AD63" i="35" s="1"/>
  <c r="AL63" i="35" s="1"/>
  <c r="T63" i="14"/>
  <c r="AV63" i="14" s="1"/>
  <c r="AX63" i="14" s="1"/>
  <c r="U23" i="35"/>
  <c r="AD23" i="35" s="1"/>
  <c r="AL23" i="35" s="1"/>
  <c r="T23" i="14"/>
  <c r="AV23" i="14" s="1"/>
  <c r="AX23" i="14" s="1"/>
  <c r="U56" i="35"/>
  <c r="AD56" i="35" s="1"/>
  <c r="AL56" i="35" s="1"/>
  <c r="T56" i="14"/>
  <c r="AV56" i="14" s="1"/>
  <c r="AX56" i="14" s="1"/>
  <c r="U55" i="35"/>
  <c r="AD55" i="35" s="1"/>
  <c r="AL55" i="35" s="1"/>
  <c r="T55" i="14"/>
  <c r="AV55" i="14" s="1"/>
  <c r="AX55" i="14" s="1"/>
  <c r="U40" i="35"/>
  <c r="AD40" i="35" s="1"/>
  <c r="AL40" i="35" s="1"/>
  <c r="T40" i="14"/>
  <c r="AV40" i="14" s="1"/>
  <c r="AX40" i="14" s="1"/>
  <c r="U62" i="35"/>
  <c r="AD62" i="35" s="1"/>
  <c r="AL62" i="35" s="1"/>
  <c r="T62" i="14"/>
  <c r="AV62" i="14" s="1"/>
  <c r="AX62" i="14" s="1"/>
  <c r="U13" i="35"/>
  <c r="AD13" i="35" s="1"/>
  <c r="AL13" i="35" s="1"/>
  <c r="T13" i="14"/>
  <c r="AV13" i="14" s="1"/>
  <c r="AX13" i="14" s="1"/>
  <c r="U19" i="35"/>
  <c r="AD19" i="35" s="1"/>
  <c r="AL19" i="35" s="1"/>
  <c r="T19" i="14"/>
  <c r="AV19" i="14" s="1"/>
  <c r="AX19" i="14" s="1"/>
  <c r="U37" i="35"/>
  <c r="AD37" i="35" s="1"/>
  <c r="AL37" i="35" s="1"/>
  <c r="T37" i="14"/>
  <c r="AV37" i="14" s="1"/>
  <c r="AX37" i="14" s="1"/>
  <c r="U17" i="35"/>
  <c r="AD17" i="35" s="1"/>
  <c r="AL17" i="35" s="1"/>
  <c r="T17" i="14"/>
  <c r="AV17" i="14" s="1"/>
  <c r="AX17" i="14" s="1"/>
  <c r="U28" i="35"/>
  <c r="AD28" i="35" s="1"/>
  <c r="AL28" i="35" s="1"/>
  <c r="T28" i="14"/>
  <c r="AV28" i="14" s="1"/>
  <c r="AX28" i="14" s="1"/>
  <c r="U48" i="35"/>
  <c r="AD48" i="35" s="1"/>
  <c r="AL48" i="35" s="1"/>
  <c r="T48" i="14"/>
  <c r="AV48" i="14" s="1"/>
  <c r="AX48" i="14" s="1"/>
  <c r="U25" i="35"/>
  <c r="AD25" i="35" s="1"/>
  <c r="AL25" i="35" s="1"/>
  <c r="T25" i="14"/>
  <c r="AV25" i="14" s="1"/>
  <c r="AX25" i="14" s="1"/>
  <c r="U57" i="35"/>
  <c r="AD57" i="35" s="1"/>
  <c r="AL57" i="35" s="1"/>
  <c r="T57" i="14"/>
  <c r="AV57" i="14" s="1"/>
  <c r="AX57" i="14" s="1"/>
  <c r="AS68" i="14"/>
  <c r="AS67" i="14"/>
  <c r="U54" i="35"/>
  <c r="AD54" i="35" s="1"/>
  <c r="AL54" i="35" s="1"/>
  <c r="T54" i="14"/>
  <c r="AV54" i="14" s="1"/>
  <c r="AX54" i="14" s="1"/>
  <c r="U53" i="35"/>
  <c r="AD53" i="35" s="1"/>
  <c r="AL53" i="35" s="1"/>
  <c r="T53" i="14"/>
  <c r="AV53" i="14" s="1"/>
  <c r="AX53" i="14" s="1"/>
  <c r="U16" i="35"/>
  <c r="AD16" i="35" s="1"/>
  <c r="AL16" i="35" s="1"/>
  <c r="T16" i="14"/>
  <c r="AV16" i="14" s="1"/>
  <c r="AX16" i="14" s="1"/>
  <c r="U29" i="35"/>
  <c r="AD29" i="35" s="1"/>
  <c r="AL29" i="35" s="1"/>
  <c r="T29" i="14"/>
  <c r="AV29" i="14" s="1"/>
  <c r="AX29" i="14" s="1"/>
  <c r="U52" i="35"/>
  <c r="AD52" i="35" s="1"/>
  <c r="AL52" i="35" s="1"/>
  <c r="T52" i="14"/>
  <c r="AV52" i="14" s="1"/>
  <c r="AX52" i="14" s="1"/>
  <c r="U60" i="35"/>
  <c r="AD60" i="35" s="1"/>
  <c r="AL60" i="35" s="1"/>
  <c r="T60" i="14"/>
  <c r="AV60" i="14" s="1"/>
  <c r="AX60" i="14" s="1"/>
  <c r="E22" i="20"/>
  <c r="T39" i="14" l="1"/>
  <c r="AV39" i="14" s="1"/>
  <c r="AX39" i="14" s="1"/>
  <c r="T30" i="14"/>
  <c r="AV30" i="14" s="1"/>
  <c r="AX30" i="14" s="1"/>
  <c r="T51" i="14"/>
  <c r="AV51" i="14" s="1"/>
  <c r="AX51" i="14" s="1"/>
  <c r="T47" i="14"/>
  <c r="AV47" i="14" s="1"/>
  <c r="AX47" i="14" s="1"/>
  <c r="T44" i="14"/>
  <c r="AV44" i="14" s="1"/>
  <c r="AX44" i="14" s="1"/>
  <c r="U15" i="35"/>
  <c r="AD15" i="35" s="1"/>
  <c r="AL15" i="35" s="1"/>
  <c r="T38" i="14"/>
  <c r="AV38" i="14" s="1"/>
  <c r="AX38" i="14" s="1"/>
  <c r="U46" i="35"/>
  <c r="AD46" i="35" s="1"/>
  <c r="AL46" i="35" s="1"/>
  <c r="U36" i="35"/>
  <c r="AD36" i="35" s="1"/>
  <c r="AL36" i="35" s="1"/>
  <c r="T67" i="14"/>
  <c r="AV67" i="14" s="1"/>
  <c r="AX67" i="14" s="1"/>
  <c r="T68" i="14"/>
  <c r="AV68" i="14" s="1"/>
  <c r="AX68" i="14" s="1"/>
  <c r="CY94" i="26"/>
  <c r="DI94" i="26" s="1"/>
  <c r="DI92" i="26"/>
  <c r="T45" i="14"/>
  <c r="AV45" i="14" s="1"/>
  <c r="AX45" i="14" s="1"/>
  <c r="T20" i="14"/>
  <c r="AV20" i="14" s="1"/>
  <c r="AX20" i="14" s="1"/>
  <c r="T21" i="14"/>
  <c r="AV21" i="14" s="1"/>
  <c r="AX21" i="14" s="1"/>
  <c r="U14" i="35"/>
  <c r="AD14" i="35" s="1"/>
  <c r="AL14" i="35" s="1"/>
  <c r="T49" i="14"/>
  <c r="AV49" i="14" s="1"/>
  <c r="AX49" i="14" s="1"/>
  <c r="U31" i="35"/>
  <c r="AD31" i="35" s="1"/>
  <c r="AL31" i="35" s="1"/>
  <c r="T41" i="14"/>
  <c r="AV41" i="14" s="1"/>
  <c r="AX41" i="14" s="1"/>
  <c r="T69" i="14"/>
  <c r="AV69" i="14" s="1"/>
  <c r="AX69" i="14" s="1"/>
  <c r="U58" i="35"/>
  <c r="AD58" i="35" s="1"/>
  <c r="AL58" i="35" s="1"/>
  <c r="T50" i="14"/>
  <c r="AV50" i="14" s="1"/>
  <c r="AX50" i="14" s="1"/>
  <c r="T61" i="14"/>
  <c r="AV61" i="14" s="1"/>
  <c r="AX61" i="14" s="1"/>
  <c r="AS64" i="14"/>
  <c r="AS62" i="14"/>
  <c r="U32" i="35"/>
  <c r="AD32" i="35" s="1"/>
  <c r="AL32" i="35" s="1"/>
  <c r="T34" i="14"/>
  <c r="AV34" i="14" s="1"/>
  <c r="AX34" i="14" s="1"/>
  <c r="T43" i="14"/>
  <c r="AV43" i="14" s="1"/>
  <c r="AX43" i="14" s="1"/>
  <c r="AS57" i="14"/>
  <c r="AS60" i="14"/>
  <c r="AS65" i="14"/>
  <c r="T22" i="14"/>
  <c r="AV22" i="14" s="1"/>
  <c r="AX22" i="14" s="1"/>
  <c r="AS42" i="14"/>
  <c r="AS61" i="14"/>
  <c r="AS55" i="14"/>
  <c r="U24" i="35"/>
  <c r="AD24" i="35" s="1"/>
  <c r="AL24" i="35" s="1"/>
  <c r="AS63" i="14"/>
  <c r="AS35" i="14"/>
  <c r="T70" i="14"/>
  <c r="AV70" i="14" s="1"/>
  <c r="AX70" i="14" s="1"/>
  <c r="T27" i="14"/>
  <c r="AV27" i="14" s="1"/>
  <c r="AX27" i="14" s="1"/>
  <c r="AS54" i="14"/>
  <c r="AS58" i="14"/>
  <c r="U65" i="35"/>
  <c r="AD65" i="35" s="1"/>
  <c r="AL65" i="35" s="1"/>
  <c r="T33" i="14"/>
  <c r="AV33" i="14" s="1"/>
  <c r="AX33" i="14" s="1"/>
  <c r="AS59" i="14"/>
  <c r="AS56" i="14"/>
  <c r="AS21" i="14"/>
  <c r="T42" i="14"/>
  <c r="AV42" i="14" s="1"/>
  <c r="AX42" i="14" s="1"/>
  <c r="T35" i="14"/>
  <c r="AV35" i="14" s="1"/>
  <c r="AX35" i="14" s="1"/>
  <c r="U59" i="35"/>
  <c r="AD59" i="35" s="1"/>
  <c r="AL59" i="35" s="1"/>
  <c r="AS22" i="14"/>
  <c r="AS27" i="14"/>
  <c r="T26" i="14"/>
  <c r="AV26" i="14" s="1"/>
  <c r="AX26" i="14" s="1"/>
  <c r="T64" i="14"/>
  <c r="AV64" i="14" s="1"/>
  <c r="AX64" i="14" s="1"/>
  <c r="AS36" i="14"/>
  <c r="AS51" i="14"/>
  <c r="AS17" i="14"/>
  <c r="AS25" i="14"/>
  <c r="AS43" i="14"/>
  <c r="AS37" i="14"/>
  <c r="AS32" i="14"/>
  <c r="AS34" i="14"/>
  <c r="AS52" i="14"/>
  <c r="AS38" i="14"/>
  <c r="AS30" i="14"/>
  <c r="CH48" i="26"/>
  <c r="CH51" i="26" s="1"/>
  <c r="AS29" i="14"/>
  <c r="AS50" i="14"/>
  <c r="AS24" i="14"/>
  <c r="AS33" i="14"/>
  <c r="AS28" i="14"/>
  <c r="AS14" i="14"/>
  <c r="AS47" i="14"/>
  <c r="AS49" i="14"/>
  <c r="AS18" i="14"/>
  <c r="AS13" i="14"/>
  <c r="AS53" i="14"/>
  <c r="AS46" i="14"/>
  <c r="AS48" i="14"/>
  <c r="AS31" i="14"/>
  <c r="AS39" i="14"/>
  <c r="AS26" i="14"/>
  <c r="AS16" i="14"/>
  <c r="AS44" i="14"/>
  <c r="AS15" i="14"/>
  <c r="AS45" i="14"/>
  <c r="T18" i="14"/>
  <c r="AV18" i="14" s="1"/>
  <c r="AX18" i="14" s="1"/>
  <c r="AS41" i="14"/>
  <c r="AS20" i="14"/>
  <c r="AS19" i="14"/>
  <c r="AS23" i="14"/>
  <c r="AS40" i="14"/>
  <c r="E27" i="20"/>
  <c r="E32" i="20" l="1"/>
  <c r="AC71" i="14" l="1"/>
  <c r="V71" i="14"/>
  <c r="AE71" i="14"/>
  <c r="E20" i="20" l="1"/>
  <c r="E23" i="20"/>
  <c r="E38" i="20"/>
  <c r="E33" i="20"/>
  <c r="E8" i="20"/>
  <c r="E25" i="20" l="1"/>
  <c r="E29" i="20"/>
  <c r="E40" i="20"/>
  <c r="J8" i="20"/>
  <c r="E19" i="20"/>
  <c r="E18" i="20"/>
  <c r="E28" i="20"/>
  <c r="E26" i="20" l="1"/>
  <c r="E30" i="20"/>
  <c r="E24" i="20"/>
  <c r="E39" i="20"/>
  <c r="E31" i="20"/>
  <c r="U8" i="20"/>
  <c r="E34" i="20"/>
  <c r="E21" i="20"/>
  <c r="E9" i="20"/>
  <c r="E41" i="20" l="1"/>
  <c r="E10" i="20"/>
  <c r="E35" i="20"/>
  <c r="J9" i="20"/>
  <c r="AD8" i="20"/>
  <c r="E42" i="20" l="1"/>
  <c r="J10" i="20"/>
  <c r="E11" i="20"/>
  <c r="AL8" i="20"/>
  <c r="U9" i="20"/>
  <c r="E43" i="20" l="1"/>
  <c r="E12" i="20"/>
  <c r="AM8" i="20"/>
  <c r="AD9" i="20"/>
  <c r="U10" i="20"/>
  <c r="J11" i="20"/>
  <c r="E44" i="20" l="1"/>
  <c r="U11" i="20"/>
  <c r="AL9" i="20"/>
  <c r="E13" i="20"/>
  <c r="AD10" i="20"/>
  <c r="D45" i="14" l="1"/>
  <c r="E45" i="20"/>
  <c r="E45" i="14" s="1"/>
  <c r="E14" i="20"/>
  <c r="AM9" i="20"/>
  <c r="AL10" i="20"/>
  <c r="AD11" i="20"/>
  <c r="E46" i="20" l="1"/>
  <c r="AM10" i="20"/>
  <c r="AL11" i="20"/>
  <c r="AT44" i="26"/>
  <c r="E15" i="20"/>
  <c r="E47" i="20" l="1"/>
  <c r="AM11" i="20"/>
  <c r="E16" i="20"/>
  <c r="E48" i="20" l="1"/>
  <c r="E49" i="20" l="1"/>
  <c r="E50" i="20" l="1"/>
  <c r="E51" i="20" l="1"/>
  <c r="E52" i="20" l="1"/>
  <c r="E53" i="20" l="1"/>
  <c r="E54" i="20" l="1"/>
  <c r="E55" i="20" l="1"/>
  <c r="E56" i="20" l="1"/>
  <c r="E57" i="20" l="1"/>
  <c r="E58" i="20" l="1"/>
  <c r="E59" i="20" l="1"/>
  <c r="E60" i="20" l="1"/>
  <c r="E61" i="20" l="1"/>
  <c r="E62" i="20" l="1"/>
  <c r="E63" i="20" l="1"/>
  <c r="E64" i="20" l="1"/>
  <c r="D71" i="20"/>
  <c r="E71" i="20" l="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9" i="14"/>
  <c r="H41" i="14"/>
  <c r="H40" i="14"/>
  <c r="H38" i="14"/>
  <c r="H37" i="14"/>
  <c r="H27" i="14" l="1"/>
  <c r="H34" i="14"/>
  <c r="H26" i="14"/>
  <c r="H18" i="14"/>
  <c r="H33" i="14"/>
  <c r="H25" i="14"/>
  <c r="H17" i="14"/>
  <c r="H35" i="14"/>
  <c r="H16" i="14"/>
  <c r="H15" i="14"/>
  <c r="H30" i="14"/>
  <c r="H22" i="14"/>
  <c r="H14" i="14"/>
  <c r="H19" i="14"/>
  <c r="H24" i="14"/>
  <c r="H23" i="14"/>
  <c r="H29" i="14"/>
  <c r="H21" i="14"/>
  <c r="H13" i="14"/>
  <c r="H71" i="20"/>
  <c r="I6" i="40" s="1"/>
  <c r="J6" i="40" s="1"/>
  <c r="H32" i="14"/>
  <c r="H31" i="14"/>
  <c r="H36" i="14"/>
  <c r="H28" i="14"/>
  <c r="H20" i="14"/>
  <c r="H12" i="14"/>
  <c r="K6" i="40" l="1"/>
  <c r="L6" i="40" s="1"/>
  <c r="M6" i="40" s="1"/>
  <c r="D6" i="40" s="1"/>
  <c r="G21" i="40" s="1"/>
  <c r="H21" i="40" s="1"/>
  <c r="D48" i="14" l="1"/>
  <c r="D63" i="14"/>
  <c r="D16" i="14"/>
  <c r="D11" i="14"/>
  <c r="D50" i="14"/>
  <c r="D31" i="14"/>
  <c r="D56" i="14"/>
  <c r="D23" i="14"/>
  <c r="D67" i="14"/>
  <c r="D70" i="14"/>
  <c r="D55" i="14"/>
  <c r="D47" i="14"/>
  <c r="D17" i="14"/>
  <c r="D61" i="14"/>
  <c r="D28" i="14"/>
  <c r="D25" i="14"/>
  <c r="D62" i="14"/>
  <c r="D43" i="14"/>
  <c r="D66" i="14"/>
  <c r="D10" i="14"/>
  <c r="D34" i="14"/>
  <c r="D24" i="14"/>
  <c r="D52" i="14"/>
  <c r="D33" i="14"/>
  <c r="D49" i="14"/>
  <c r="D30" i="14"/>
  <c r="D35" i="14"/>
  <c r="D22" i="14"/>
  <c r="D68" i="14"/>
  <c r="D39" i="14"/>
  <c r="D27" i="14"/>
  <c r="D69" i="14"/>
  <c r="D53" i="14"/>
  <c r="D15" i="14"/>
  <c r="E31" i="21"/>
  <c r="AT45" i="26"/>
  <c r="AT53" i="26" s="1"/>
  <c r="D14" i="14"/>
  <c r="D64" i="14"/>
  <c r="D58" i="14"/>
  <c r="D46" i="14"/>
  <c r="D59" i="14"/>
  <c r="D51" i="14"/>
  <c r="D57" i="14"/>
  <c r="D36" i="14"/>
  <c r="E64" i="21"/>
  <c r="E24" i="21"/>
  <c r="D42" i="14"/>
  <c r="D18" i="14"/>
  <c r="D54" i="14"/>
  <c r="E62" i="21"/>
  <c r="AS62" i="20" s="1"/>
  <c r="D32" i="14"/>
  <c r="D65" i="14"/>
  <c r="D21" i="14"/>
  <c r="D26" i="14"/>
  <c r="E57" i="21"/>
  <c r="D19" i="14"/>
  <c r="D38" i="14"/>
  <c r="E51" i="21"/>
  <c r="E27" i="21"/>
  <c r="D41" i="14"/>
  <c r="D8" i="14"/>
  <c r="E63" i="21"/>
  <c r="E66" i="21"/>
  <c r="D37" i="14"/>
  <c r="D20" i="14"/>
  <c r="E67" i="21"/>
  <c r="E35" i="21"/>
  <c r="D40" i="14"/>
  <c r="E47" i="21"/>
  <c r="E25" i="21"/>
  <c r="AS25" i="20" s="1"/>
  <c r="E36" i="21"/>
  <c r="D12" i="14"/>
  <c r="E70" i="21"/>
  <c r="E48" i="21"/>
  <c r="D9" i="14"/>
  <c r="E46" i="21"/>
  <c r="E16" i="21"/>
  <c r="AS16" i="20" s="1"/>
  <c r="E32" i="21"/>
  <c r="E18" i="21"/>
  <c r="AS18" i="20" s="1"/>
  <c r="E53" i="21"/>
  <c r="E30" i="21"/>
  <c r="E19" i="21"/>
  <c r="F19" i="21" s="1"/>
  <c r="F19" i="14" s="1"/>
  <c r="E34" i="21"/>
  <c r="E68" i="21"/>
  <c r="E21" i="21"/>
  <c r="F21" i="21" s="1"/>
  <c r="F21" i="14" s="1"/>
  <c r="E65" i="21"/>
  <c r="E50" i="21"/>
  <c r="E10" i="21"/>
  <c r="AS10" i="20" s="1"/>
  <c r="E55" i="21"/>
  <c r="D29" i="14"/>
  <c r="E29" i="21"/>
  <c r="E11" i="21"/>
  <c r="AS11" i="20" s="1"/>
  <c r="E33" i="21"/>
  <c r="E61" i="21"/>
  <c r="E15" i="21"/>
  <c r="D60" i="14"/>
  <c r="E60" i="21"/>
  <c r="AS60" i="20" s="1"/>
  <c r="E39" i="21"/>
  <c r="E52" i="21"/>
  <c r="AS52" i="20" s="1"/>
  <c r="E17" i="21"/>
  <c r="E56" i="21"/>
  <c r="E28" i="21"/>
  <c r="AS28" i="20" s="1"/>
  <c r="E37" i="21"/>
  <c r="E49" i="21"/>
  <c r="E54" i="21"/>
  <c r="E12" i="21"/>
  <c r="E20" i="21"/>
  <c r="F20" i="21" s="1"/>
  <c r="F20" i="14" s="1"/>
  <c r="D13" i="14"/>
  <c r="E13" i="21"/>
  <c r="D44" i="14"/>
  <c r="E14" i="21"/>
  <c r="E59" i="21"/>
  <c r="E43" i="21"/>
  <c r="AS43" i="20" s="1"/>
  <c r="E41" i="21"/>
  <c r="E42" i="21"/>
  <c r="E38" i="21"/>
  <c r="E40" i="21"/>
  <c r="D71" i="21"/>
  <c r="E9" i="21"/>
  <c r="AS9" i="20" s="1"/>
  <c r="E23" i="21"/>
  <c r="E58" i="21"/>
  <c r="E22" i="21"/>
  <c r="E69" i="21"/>
  <c r="AS69" i="20" s="1"/>
  <c r="E44" i="21"/>
  <c r="AS44" i="20" s="1"/>
  <c r="E26" i="21"/>
  <c r="E8" i="21"/>
  <c r="E44" i="24" l="1"/>
  <c r="J44" i="24" s="1"/>
  <c r="U44" i="24" s="1"/>
  <c r="AD44" i="24" s="1"/>
  <c r="AL44" i="24" s="1"/>
  <c r="E44" i="25"/>
  <c r="J44" i="25" s="1"/>
  <c r="U44" i="25" s="1"/>
  <c r="AD44" i="25" s="1"/>
  <c r="AL44" i="25" s="1"/>
  <c r="E44" i="23"/>
  <c r="J44" i="23" s="1"/>
  <c r="U44" i="23" s="1"/>
  <c r="AD44" i="23" s="1"/>
  <c r="AL44" i="23" s="1"/>
  <c r="E44" i="22"/>
  <c r="J44" i="22" s="1"/>
  <c r="U44" i="22" s="1"/>
  <c r="AD44" i="22" s="1"/>
  <c r="AL44" i="22" s="1"/>
  <c r="AS23" i="20"/>
  <c r="AS59" i="20"/>
  <c r="AS49" i="20"/>
  <c r="E10" i="25"/>
  <c r="J10" i="25" s="1"/>
  <c r="U10" i="25" s="1"/>
  <c r="AD10" i="25" s="1"/>
  <c r="AL10" i="25" s="1"/>
  <c r="E10" i="24"/>
  <c r="J10" i="24" s="1"/>
  <c r="U10" i="24" s="1"/>
  <c r="AD10" i="24" s="1"/>
  <c r="AL10" i="24" s="1"/>
  <c r="E10" i="23"/>
  <c r="J10" i="23" s="1"/>
  <c r="U10" i="23" s="1"/>
  <c r="AD10" i="23" s="1"/>
  <c r="AL10" i="23" s="1"/>
  <c r="E10" i="22"/>
  <c r="J10" i="22" s="1"/>
  <c r="U10" i="22" s="1"/>
  <c r="AD10" i="22" s="1"/>
  <c r="AL10" i="22" s="1"/>
  <c r="AS53" i="20"/>
  <c r="E9" i="25"/>
  <c r="J9" i="25" s="1"/>
  <c r="U9" i="25" s="1"/>
  <c r="AD9" i="25" s="1"/>
  <c r="AL9" i="25" s="1"/>
  <c r="E9" i="24"/>
  <c r="J9" i="24" s="1"/>
  <c r="U9" i="24" s="1"/>
  <c r="AD9" i="24" s="1"/>
  <c r="AL9" i="24" s="1"/>
  <c r="E9" i="23"/>
  <c r="J9" i="23" s="1"/>
  <c r="U9" i="23" s="1"/>
  <c r="AD9" i="23" s="1"/>
  <c r="AL9" i="23" s="1"/>
  <c r="E9" i="22"/>
  <c r="J9" i="22" s="1"/>
  <c r="U9" i="22" s="1"/>
  <c r="AD9" i="22" s="1"/>
  <c r="AL9" i="22" s="1"/>
  <c r="AS14" i="20"/>
  <c r="AS37" i="20"/>
  <c r="F15" i="21"/>
  <c r="F15" i="14" s="1"/>
  <c r="AS15" i="20"/>
  <c r="AS50" i="20"/>
  <c r="E18" i="25"/>
  <c r="J18" i="25" s="1"/>
  <c r="U18" i="25" s="1"/>
  <c r="AD18" i="25" s="1"/>
  <c r="AL18" i="25" s="1"/>
  <c r="E18" i="24"/>
  <c r="J18" i="24" s="1"/>
  <c r="U18" i="24" s="1"/>
  <c r="AD18" i="24" s="1"/>
  <c r="AL18" i="24" s="1"/>
  <c r="E18" i="22"/>
  <c r="J18" i="22" s="1"/>
  <c r="U18" i="22" s="1"/>
  <c r="AD18" i="22" s="1"/>
  <c r="AL18" i="22" s="1"/>
  <c r="E18" i="23"/>
  <c r="J18" i="23" s="1"/>
  <c r="U18" i="23" s="1"/>
  <c r="AD18" i="23" s="1"/>
  <c r="AL18" i="23" s="1"/>
  <c r="J36" i="21"/>
  <c r="U36" i="21" s="1"/>
  <c r="AD36" i="21" s="1"/>
  <c r="AS36" i="20"/>
  <c r="AS66" i="20"/>
  <c r="AS57" i="20"/>
  <c r="E28" i="25"/>
  <c r="J28" i="25" s="1"/>
  <c r="U28" i="25" s="1"/>
  <c r="AD28" i="25" s="1"/>
  <c r="AL28" i="25" s="1"/>
  <c r="E28" i="23"/>
  <c r="J28" i="23" s="1"/>
  <c r="U28" i="23" s="1"/>
  <c r="AD28" i="23" s="1"/>
  <c r="AL28" i="23" s="1"/>
  <c r="E28" i="22"/>
  <c r="J28" i="22" s="1"/>
  <c r="U28" i="22" s="1"/>
  <c r="AD28" i="22" s="1"/>
  <c r="AL28" i="22" s="1"/>
  <c r="E28" i="24"/>
  <c r="J28" i="24" s="1"/>
  <c r="U28" i="24" s="1"/>
  <c r="AD28" i="24" s="1"/>
  <c r="AL28" i="24" s="1"/>
  <c r="AS61" i="20"/>
  <c r="AS65" i="20"/>
  <c r="AS32" i="20"/>
  <c r="E25" i="22"/>
  <c r="J25" i="22" s="1"/>
  <c r="U25" i="22" s="1"/>
  <c r="AD25" i="22" s="1"/>
  <c r="AL25" i="22" s="1"/>
  <c r="E25" i="23"/>
  <c r="J25" i="23" s="1"/>
  <c r="U25" i="23" s="1"/>
  <c r="AD25" i="23" s="1"/>
  <c r="AL25" i="23" s="1"/>
  <c r="E25" i="25"/>
  <c r="J25" i="25" s="1"/>
  <c r="U25" i="25" s="1"/>
  <c r="AD25" i="25" s="1"/>
  <c r="AL25" i="25" s="1"/>
  <c r="E25" i="24"/>
  <c r="J25" i="24" s="1"/>
  <c r="U25" i="24" s="1"/>
  <c r="AD25" i="24" s="1"/>
  <c r="AL25" i="24" s="1"/>
  <c r="AS63" i="20"/>
  <c r="AS24" i="20"/>
  <c r="AS40" i="20"/>
  <c r="AS13" i="20"/>
  <c r="AS56" i="20"/>
  <c r="J33" i="21"/>
  <c r="U33" i="21" s="1"/>
  <c r="AS33" i="20"/>
  <c r="AS21" i="20"/>
  <c r="E16" i="25"/>
  <c r="J16" i="25" s="1"/>
  <c r="U16" i="25" s="1"/>
  <c r="AD16" i="25" s="1"/>
  <c r="AL16" i="25" s="1"/>
  <c r="E16" i="22"/>
  <c r="J16" i="22" s="1"/>
  <c r="U16" i="22" s="1"/>
  <c r="AD16" i="22" s="1"/>
  <c r="AL16" i="22" s="1"/>
  <c r="E16" i="23"/>
  <c r="J16" i="23" s="1"/>
  <c r="U16" i="23" s="1"/>
  <c r="AD16" i="23" s="1"/>
  <c r="AL16" i="23" s="1"/>
  <c r="E16" i="24"/>
  <c r="J16" i="24" s="1"/>
  <c r="U16" i="24" s="1"/>
  <c r="AD16" i="24" s="1"/>
  <c r="AL16" i="24" s="1"/>
  <c r="AS47" i="20"/>
  <c r="AS64" i="20"/>
  <c r="AS38" i="20"/>
  <c r="F17" i="21"/>
  <c r="F17" i="14" s="1"/>
  <c r="AS17" i="20"/>
  <c r="E11" i="25"/>
  <c r="J11" i="25" s="1"/>
  <c r="U11" i="25" s="1"/>
  <c r="AD11" i="25" s="1"/>
  <c r="AL11" i="25" s="1"/>
  <c r="E11" i="24"/>
  <c r="J11" i="24" s="1"/>
  <c r="U11" i="24" s="1"/>
  <c r="AD11" i="24" s="1"/>
  <c r="AL11" i="24" s="1"/>
  <c r="E11" i="23"/>
  <c r="J11" i="23" s="1"/>
  <c r="U11" i="23" s="1"/>
  <c r="AD11" i="23" s="1"/>
  <c r="AL11" i="23" s="1"/>
  <c r="E11" i="22"/>
  <c r="J11" i="22" s="1"/>
  <c r="U11" i="22" s="1"/>
  <c r="AD11" i="22" s="1"/>
  <c r="AL11" i="22" s="1"/>
  <c r="AS68" i="20"/>
  <c r="AS46" i="20"/>
  <c r="AS26" i="20"/>
  <c r="AS42" i="20"/>
  <c r="AS20" i="20"/>
  <c r="E52" i="25"/>
  <c r="J52" i="25" s="1"/>
  <c r="U52" i="25" s="1"/>
  <c r="AD52" i="25" s="1"/>
  <c r="AL52" i="25" s="1"/>
  <c r="E52" i="23"/>
  <c r="J52" i="23" s="1"/>
  <c r="U52" i="23" s="1"/>
  <c r="AD52" i="23" s="1"/>
  <c r="AL52" i="23" s="1"/>
  <c r="E52" i="24"/>
  <c r="J52" i="24" s="1"/>
  <c r="U52" i="24" s="1"/>
  <c r="AD52" i="24" s="1"/>
  <c r="AL52" i="24" s="1"/>
  <c r="E52" i="22"/>
  <c r="J52" i="22" s="1"/>
  <c r="U52" i="22" s="1"/>
  <c r="AD52" i="22" s="1"/>
  <c r="AL52" i="22" s="1"/>
  <c r="AS29" i="20"/>
  <c r="AS34" i="20"/>
  <c r="AS35" i="20"/>
  <c r="AS27" i="20"/>
  <c r="J31" i="21"/>
  <c r="U31" i="21" s="1"/>
  <c r="AS31" i="20"/>
  <c r="E69" i="25"/>
  <c r="J69" i="25" s="1"/>
  <c r="U69" i="25" s="1"/>
  <c r="AD69" i="25" s="1"/>
  <c r="AL69" i="25" s="1"/>
  <c r="E69" i="24"/>
  <c r="J69" i="24" s="1"/>
  <c r="U69" i="24" s="1"/>
  <c r="AD69" i="24" s="1"/>
  <c r="AL69" i="24" s="1"/>
  <c r="E69" i="22"/>
  <c r="J69" i="22" s="1"/>
  <c r="U69" i="22" s="1"/>
  <c r="AD69" i="22" s="1"/>
  <c r="AL69" i="22" s="1"/>
  <c r="E69" i="23"/>
  <c r="J69" i="23" s="1"/>
  <c r="U69" i="23" s="1"/>
  <c r="AD69" i="23" s="1"/>
  <c r="AL69" i="23" s="1"/>
  <c r="AS22" i="20"/>
  <c r="AS41" i="20"/>
  <c r="AS12" i="20"/>
  <c r="J39" i="21"/>
  <c r="U39" i="21" s="1"/>
  <c r="AD39" i="21" s="1"/>
  <c r="AS39" i="20"/>
  <c r="AS19" i="20"/>
  <c r="AS48" i="20"/>
  <c r="AS67" i="20"/>
  <c r="AS51" i="20"/>
  <c r="E62" i="25"/>
  <c r="J62" i="25" s="1"/>
  <c r="U62" i="25" s="1"/>
  <c r="AD62" i="25" s="1"/>
  <c r="AL62" i="25" s="1"/>
  <c r="E62" i="24"/>
  <c r="J62" i="24" s="1"/>
  <c r="U62" i="24" s="1"/>
  <c r="AD62" i="24" s="1"/>
  <c r="AL62" i="24" s="1"/>
  <c r="E62" i="23"/>
  <c r="J62" i="23" s="1"/>
  <c r="U62" i="23" s="1"/>
  <c r="AD62" i="23" s="1"/>
  <c r="AL62" i="23" s="1"/>
  <c r="E62" i="22"/>
  <c r="J62" i="22" s="1"/>
  <c r="U62" i="22" s="1"/>
  <c r="AD62" i="22" s="1"/>
  <c r="AL62" i="22" s="1"/>
  <c r="AS8" i="20"/>
  <c r="AS58" i="20"/>
  <c r="E43" i="24"/>
  <c r="J43" i="24" s="1"/>
  <c r="U43" i="24" s="1"/>
  <c r="AD43" i="24" s="1"/>
  <c r="AL43" i="24" s="1"/>
  <c r="E43" i="23"/>
  <c r="J43" i="23" s="1"/>
  <c r="U43" i="23" s="1"/>
  <c r="AD43" i="23" s="1"/>
  <c r="AL43" i="23" s="1"/>
  <c r="E43" i="25"/>
  <c r="J43" i="25" s="1"/>
  <c r="U43" i="25" s="1"/>
  <c r="AD43" i="25" s="1"/>
  <c r="AL43" i="25" s="1"/>
  <c r="E43" i="22"/>
  <c r="J43" i="22" s="1"/>
  <c r="U43" i="22" s="1"/>
  <c r="AD43" i="22" s="1"/>
  <c r="AL43" i="22" s="1"/>
  <c r="AS54" i="20"/>
  <c r="E60" i="25"/>
  <c r="J60" i="25" s="1"/>
  <c r="U60" i="25" s="1"/>
  <c r="AD60" i="25" s="1"/>
  <c r="AL60" i="25" s="1"/>
  <c r="E60" i="23"/>
  <c r="J60" i="23" s="1"/>
  <c r="U60" i="23" s="1"/>
  <c r="AD60" i="23" s="1"/>
  <c r="AL60" i="23" s="1"/>
  <c r="E60" i="22"/>
  <c r="J60" i="22" s="1"/>
  <c r="U60" i="22" s="1"/>
  <c r="AD60" i="22" s="1"/>
  <c r="AL60" i="22" s="1"/>
  <c r="E60" i="24"/>
  <c r="J60" i="24" s="1"/>
  <c r="U60" i="24" s="1"/>
  <c r="AD60" i="24" s="1"/>
  <c r="AL60" i="24" s="1"/>
  <c r="AS55" i="20"/>
  <c r="AS30" i="20"/>
  <c r="AS70" i="20"/>
  <c r="F18" i="21"/>
  <c r="F18" i="14" s="1"/>
  <c r="F16" i="21"/>
  <c r="F16" i="14" s="1"/>
  <c r="J22" i="21"/>
  <c r="J41" i="21"/>
  <c r="U41" i="21" s="1"/>
  <c r="J20" i="21"/>
  <c r="J21" i="21"/>
  <c r="J38" i="21"/>
  <c r="U38" i="21" s="1"/>
  <c r="AD38" i="21" s="1"/>
  <c r="H68" i="14"/>
  <c r="J23" i="21"/>
  <c r="F13" i="21"/>
  <c r="F13" i="14" s="1"/>
  <c r="F12" i="21"/>
  <c r="F12" i="14" s="1"/>
  <c r="J37" i="21"/>
  <c r="U37" i="21" s="1"/>
  <c r="J24" i="21"/>
  <c r="H51" i="14"/>
  <c r="F14" i="21"/>
  <c r="F14" i="14" s="1"/>
  <c r="J27" i="21"/>
  <c r="J26" i="21"/>
  <c r="U26" i="21" s="1"/>
  <c r="J40" i="21"/>
  <c r="J34" i="21"/>
  <c r="J28" i="21"/>
  <c r="F9" i="21"/>
  <c r="F9" i="14" s="1"/>
  <c r="E71" i="21"/>
  <c r="F8" i="21"/>
  <c r="F10" i="21"/>
  <c r="F10" i="14" s="1"/>
  <c r="D71" i="14"/>
  <c r="J25" i="21"/>
  <c r="J29" i="21"/>
  <c r="J32" i="21"/>
  <c r="J30" i="21"/>
  <c r="F11" i="21"/>
  <c r="F11" i="14" s="1"/>
  <c r="J19" i="21"/>
  <c r="J35" i="21"/>
  <c r="H42" i="21" l="1"/>
  <c r="H43" i="21"/>
  <c r="H44" i="21"/>
  <c r="J15" i="21"/>
  <c r="U15" i="21" s="1"/>
  <c r="E11" i="14"/>
  <c r="E44" i="14"/>
  <c r="E10" i="14"/>
  <c r="E16" i="14"/>
  <c r="E60" i="14"/>
  <c r="E9" i="14"/>
  <c r="E18" i="14"/>
  <c r="E25" i="14"/>
  <c r="E69" i="14"/>
  <c r="J17" i="21"/>
  <c r="U17" i="21" s="1"/>
  <c r="E19" i="24"/>
  <c r="J19" i="24" s="1"/>
  <c r="U19" i="24" s="1"/>
  <c r="AD19" i="24" s="1"/>
  <c r="AL19" i="24" s="1"/>
  <c r="E19" i="25"/>
  <c r="J19" i="25" s="1"/>
  <c r="U19" i="25" s="1"/>
  <c r="AD19" i="25" s="1"/>
  <c r="AL19" i="25" s="1"/>
  <c r="E19" i="23"/>
  <c r="J19" i="23" s="1"/>
  <c r="U19" i="23" s="1"/>
  <c r="AD19" i="23" s="1"/>
  <c r="AL19" i="23" s="1"/>
  <c r="E19" i="22"/>
  <c r="E22" i="25"/>
  <c r="J22" i="25" s="1"/>
  <c r="U22" i="25" s="1"/>
  <c r="AD22" i="25" s="1"/>
  <c r="AL22" i="25" s="1"/>
  <c r="E22" i="24"/>
  <c r="J22" i="24" s="1"/>
  <c r="U22" i="24" s="1"/>
  <c r="AD22" i="24" s="1"/>
  <c r="AL22" i="24" s="1"/>
  <c r="E22" i="23"/>
  <c r="J22" i="23" s="1"/>
  <c r="U22" i="23" s="1"/>
  <c r="AD22" i="23" s="1"/>
  <c r="AL22" i="23" s="1"/>
  <c r="E22" i="22"/>
  <c r="E27" i="25"/>
  <c r="J27" i="25" s="1"/>
  <c r="U27" i="25" s="1"/>
  <c r="AD27" i="25" s="1"/>
  <c r="AL27" i="25" s="1"/>
  <c r="E27" i="24"/>
  <c r="J27" i="24" s="1"/>
  <c r="U27" i="24" s="1"/>
  <c r="AD27" i="24" s="1"/>
  <c r="AL27" i="24" s="1"/>
  <c r="E27" i="23"/>
  <c r="J27" i="23" s="1"/>
  <c r="U27" i="23" s="1"/>
  <c r="AD27" i="23" s="1"/>
  <c r="AL27" i="23" s="1"/>
  <c r="E27" i="22"/>
  <c r="E26" i="23"/>
  <c r="J26" i="23" s="1"/>
  <c r="U26" i="23" s="1"/>
  <c r="AD26" i="23" s="1"/>
  <c r="AL26" i="23" s="1"/>
  <c r="E26" i="22"/>
  <c r="E26" i="24"/>
  <c r="J26" i="24" s="1"/>
  <c r="U26" i="24" s="1"/>
  <c r="AD26" i="24" s="1"/>
  <c r="AL26" i="24" s="1"/>
  <c r="E26" i="25"/>
  <c r="J26" i="25" s="1"/>
  <c r="U26" i="25" s="1"/>
  <c r="AD26" i="25" s="1"/>
  <c r="AL26" i="25" s="1"/>
  <c r="E47" i="24"/>
  <c r="J47" i="24" s="1"/>
  <c r="U47" i="24" s="1"/>
  <c r="AD47" i="24" s="1"/>
  <c r="AL47" i="24" s="1"/>
  <c r="E47" i="23"/>
  <c r="J47" i="23" s="1"/>
  <c r="U47" i="23" s="1"/>
  <c r="AD47" i="23" s="1"/>
  <c r="AL47" i="23" s="1"/>
  <c r="E47" i="22"/>
  <c r="E47" i="25"/>
  <c r="J47" i="25" s="1"/>
  <c r="U47" i="25" s="1"/>
  <c r="AD47" i="25" s="1"/>
  <c r="AL47" i="25" s="1"/>
  <c r="E33" i="22"/>
  <c r="E33" i="25"/>
  <c r="J33" i="25" s="1"/>
  <c r="U33" i="25" s="1"/>
  <c r="AD33" i="25" s="1"/>
  <c r="AL33" i="25" s="1"/>
  <c r="E33" i="24"/>
  <c r="J33" i="24" s="1"/>
  <c r="U33" i="24" s="1"/>
  <c r="AD33" i="24" s="1"/>
  <c r="AL33" i="24" s="1"/>
  <c r="E33" i="23"/>
  <c r="J33" i="23" s="1"/>
  <c r="U33" i="23" s="1"/>
  <c r="AD33" i="23" s="1"/>
  <c r="AL33" i="23" s="1"/>
  <c r="E24" i="23"/>
  <c r="J24" i="23" s="1"/>
  <c r="U24" i="23" s="1"/>
  <c r="AD24" i="23" s="1"/>
  <c r="AL24" i="23" s="1"/>
  <c r="E24" i="22"/>
  <c r="E24" i="25"/>
  <c r="J24" i="25" s="1"/>
  <c r="U24" i="25" s="1"/>
  <c r="AD24" i="25" s="1"/>
  <c r="AL24" i="25" s="1"/>
  <c r="E24" i="24"/>
  <c r="J24" i="24" s="1"/>
  <c r="U24" i="24" s="1"/>
  <c r="AD24" i="24" s="1"/>
  <c r="AL24" i="24" s="1"/>
  <c r="E32" i="23"/>
  <c r="J32" i="23" s="1"/>
  <c r="U32" i="23" s="1"/>
  <c r="AD32" i="23" s="1"/>
  <c r="AL32" i="23" s="1"/>
  <c r="E32" i="24"/>
  <c r="J32" i="24" s="1"/>
  <c r="U32" i="24" s="1"/>
  <c r="AD32" i="24" s="1"/>
  <c r="AL32" i="24" s="1"/>
  <c r="E32" i="22"/>
  <c r="E32" i="25"/>
  <c r="J32" i="25" s="1"/>
  <c r="U32" i="25" s="1"/>
  <c r="AD32" i="25" s="1"/>
  <c r="AL32" i="25" s="1"/>
  <c r="E37" i="25"/>
  <c r="J37" i="25" s="1"/>
  <c r="U37" i="25" s="1"/>
  <c r="AD37" i="25" s="1"/>
  <c r="AL37" i="25" s="1"/>
  <c r="E37" i="24"/>
  <c r="J37" i="24" s="1"/>
  <c r="U37" i="24" s="1"/>
  <c r="AD37" i="24" s="1"/>
  <c r="AL37" i="24" s="1"/>
  <c r="E37" i="22"/>
  <c r="E37" i="23"/>
  <c r="J37" i="23" s="1"/>
  <c r="U37" i="23" s="1"/>
  <c r="AD37" i="23" s="1"/>
  <c r="AL37" i="23" s="1"/>
  <c r="E53" i="25"/>
  <c r="J53" i="25" s="1"/>
  <c r="U53" i="25" s="1"/>
  <c r="AD53" i="25" s="1"/>
  <c r="AL53" i="25" s="1"/>
  <c r="E53" i="24"/>
  <c r="J53" i="24" s="1"/>
  <c r="U53" i="24" s="1"/>
  <c r="AD53" i="24" s="1"/>
  <c r="AL53" i="24" s="1"/>
  <c r="E53" i="22"/>
  <c r="E53" i="23"/>
  <c r="J53" i="23" s="1"/>
  <c r="U53" i="23" s="1"/>
  <c r="AD53" i="23" s="1"/>
  <c r="AL53" i="23" s="1"/>
  <c r="E59" i="24"/>
  <c r="J59" i="24" s="1"/>
  <c r="U59" i="24" s="1"/>
  <c r="AD59" i="24" s="1"/>
  <c r="AL59" i="24" s="1"/>
  <c r="E59" i="25"/>
  <c r="J59" i="25" s="1"/>
  <c r="U59" i="25" s="1"/>
  <c r="AD59" i="25" s="1"/>
  <c r="AL59" i="25" s="1"/>
  <c r="E59" i="23"/>
  <c r="J59" i="23" s="1"/>
  <c r="U59" i="23" s="1"/>
  <c r="AD59" i="23" s="1"/>
  <c r="AL59" i="23" s="1"/>
  <c r="E59" i="22"/>
  <c r="E52" i="14"/>
  <c r="E70" i="25"/>
  <c r="J70" i="25" s="1"/>
  <c r="U70" i="25" s="1"/>
  <c r="AD70" i="25" s="1"/>
  <c r="AL70" i="25" s="1"/>
  <c r="E70" i="24"/>
  <c r="J70" i="24" s="1"/>
  <c r="U70" i="24" s="1"/>
  <c r="AD70" i="24" s="1"/>
  <c r="AL70" i="24" s="1"/>
  <c r="E70" i="22"/>
  <c r="E70" i="23"/>
  <c r="J70" i="23" s="1"/>
  <c r="U70" i="23" s="1"/>
  <c r="AD70" i="23" s="1"/>
  <c r="AL70" i="23" s="1"/>
  <c r="E58" i="25"/>
  <c r="J58" i="25" s="1"/>
  <c r="U58" i="25" s="1"/>
  <c r="AD58" i="25" s="1"/>
  <c r="AL58" i="25" s="1"/>
  <c r="E58" i="24"/>
  <c r="J58" i="24" s="1"/>
  <c r="U58" i="24" s="1"/>
  <c r="AD58" i="24" s="1"/>
  <c r="AL58" i="24" s="1"/>
  <c r="E58" i="22"/>
  <c r="E58" i="23"/>
  <c r="J58" i="23" s="1"/>
  <c r="U58" i="23" s="1"/>
  <c r="AD58" i="23" s="1"/>
  <c r="AL58" i="23" s="1"/>
  <c r="E51" i="24"/>
  <c r="J51" i="24" s="1"/>
  <c r="U51" i="24" s="1"/>
  <c r="AD51" i="24" s="1"/>
  <c r="AL51" i="24" s="1"/>
  <c r="E51" i="23"/>
  <c r="J51" i="23" s="1"/>
  <c r="U51" i="23" s="1"/>
  <c r="AD51" i="23" s="1"/>
  <c r="AL51" i="23" s="1"/>
  <c r="E51" i="22"/>
  <c r="E51" i="25"/>
  <c r="J51" i="25" s="1"/>
  <c r="U51" i="25" s="1"/>
  <c r="AD51" i="25" s="1"/>
  <c r="AL51" i="25" s="1"/>
  <c r="E39" i="24"/>
  <c r="J39" i="24" s="1"/>
  <c r="U39" i="24" s="1"/>
  <c r="AD39" i="24" s="1"/>
  <c r="AL39" i="24" s="1"/>
  <c r="E39" i="23"/>
  <c r="J39" i="23" s="1"/>
  <c r="U39" i="23" s="1"/>
  <c r="AD39" i="23" s="1"/>
  <c r="AL39" i="23" s="1"/>
  <c r="E39" i="22"/>
  <c r="E39" i="25"/>
  <c r="J39" i="25" s="1"/>
  <c r="U39" i="25" s="1"/>
  <c r="AD39" i="25" s="1"/>
  <c r="AL39" i="25" s="1"/>
  <c r="E35" i="25"/>
  <c r="J35" i="25" s="1"/>
  <c r="U35" i="25" s="1"/>
  <c r="AD35" i="25" s="1"/>
  <c r="AL35" i="25" s="1"/>
  <c r="E35" i="24"/>
  <c r="J35" i="24" s="1"/>
  <c r="U35" i="24" s="1"/>
  <c r="AD35" i="24" s="1"/>
  <c r="AL35" i="24" s="1"/>
  <c r="E35" i="23"/>
  <c r="J35" i="23" s="1"/>
  <c r="U35" i="23" s="1"/>
  <c r="AD35" i="23" s="1"/>
  <c r="AL35" i="23" s="1"/>
  <c r="E35" i="22"/>
  <c r="E46" i="25"/>
  <c r="J46" i="25" s="1"/>
  <c r="U46" i="25" s="1"/>
  <c r="AD46" i="25" s="1"/>
  <c r="AL46" i="25" s="1"/>
  <c r="E46" i="24"/>
  <c r="J46" i="24" s="1"/>
  <c r="U46" i="24" s="1"/>
  <c r="AD46" i="24" s="1"/>
  <c r="AL46" i="24" s="1"/>
  <c r="E46" i="23"/>
  <c r="J46" i="23" s="1"/>
  <c r="U46" i="23" s="1"/>
  <c r="AD46" i="23" s="1"/>
  <c r="AL46" i="23" s="1"/>
  <c r="E46" i="22"/>
  <c r="E17" i="22"/>
  <c r="E17" i="25"/>
  <c r="J17" i="25" s="1"/>
  <c r="U17" i="25" s="1"/>
  <c r="AD17" i="25" s="1"/>
  <c r="AL17" i="25" s="1"/>
  <c r="E17" i="23"/>
  <c r="J17" i="23" s="1"/>
  <c r="U17" i="23" s="1"/>
  <c r="AD17" i="23" s="1"/>
  <c r="AL17" i="23" s="1"/>
  <c r="E17" i="24"/>
  <c r="J17" i="24" s="1"/>
  <c r="U17" i="24" s="1"/>
  <c r="AD17" i="24" s="1"/>
  <c r="AL17" i="24" s="1"/>
  <c r="E56" i="23"/>
  <c r="J56" i="23" s="1"/>
  <c r="U56" i="23" s="1"/>
  <c r="AD56" i="23" s="1"/>
  <c r="AL56" i="23" s="1"/>
  <c r="E56" i="22"/>
  <c r="E56" i="24"/>
  <c r="J56" i="24" s="1"/>
  <c r="U56" i="24" s="1"/>
  <c r="AD56" i="24" s="1"/>
  <c r="AL56" i="24" s="1"/>
  <c r="E56" i="25"/>
  <c r="J56" i="25" s="1"/>
  <c r="U56" i="25" s="1"/>
  <c r="AD56" i="25" s="1"/>
  <c r="AL56" i="25" s="1"/>
  <c r="E63" i="24"/>
  <c r="J63" i="24" s="1"/>
  <c r="U63" i="24" s="1"/>
  <c r="AD63" i="24" s="1"/>
  <c r="AL63" i="24" s="1"/>
  <c r="E63" i="23"/>
  <c r="J63" i="23" s="1"/>
  <c r="U63" i="23" s="1"/>
  <c r="AD63" i="23" s="1"/>
  <c r="AL63" i="23" s="1"/>
  <c r="E63" i="22"/>
  <c r="E63" i="25"/>
  <c r="J63" i="25" s="1"/>
  <c r="U63" i="25" s="1"/>
  <c r="AD63" i="25" s="1"/>
  <c r="AL63" i="25" s="1"/>
  <c r="E65" i="22"/>
  <c r="E65" i="25"/>
  <c r="J65" i="25" s="1"/>
  <c r="U65" i="25" s="1"/>
  <c r="AD65" i="25" s="1"/>
  <c r="AL65" i="25" s="1"/>
  <c r="E65" i="24"/>
  <c r="J65" i="24" s="1"/>
  <c r="U65" i="24" s="1"/>
  <c r="AD65" i="24" s="1"/>
  <c r="AL65" i="24" s="1"/>
  <c r="E65" i="23"/>
  <c r="J65" i="23" s="1"/>
  <c r="U65" i="23" s="1"/>
  <c r="AD65" i="23" s="1"/>
  <c r="AL65" i="23" s="1"/>
  <c r="E57" i="22"/>
  <c r="E57" i="25"/>
  <c r="J57" i="25" s="1"/>
  <c r="U57" i="25" s="1"/>
  <c r="AD57" i="25" s="1"/>
  <c r="AL57" i="25" s="1"/>
  <c r="E57" i="23"/>
  <c r="J57" i="23" s="1"/>
  <c r="U57" i="23" s="1"/>
  <c r="AD57" i="23" s="1"/>
  <c r="AL57" i="23" s="1"/>
  <c r="E57" i="24"/>
  <c r="J57" i="24" s="1"/>
  <c r="U57" i="24" s="1"/>
  <c r="AD57" i="24" s="1"/>
  <c r="AL57" i="24" s="1"/>
  <c r="E14" i="25"/>
  <c r="J14" i="25" s="1"/>
  <c r="U14" i="25" s="1"/>
  <c r="AD14" i="25" s="1"/>
  <c r="AL14" i="25" s="1"/>
  <c r="E14" i="24"/>
  <c r="J14" i="24" s="1"/>
  <c r="U14" i="24" s="1"/>
  <c r="AD14" i="24" s="1"/>
  <c r="AL14" i="24" s="1"/>
  <c r="E14" i="22"/>
  <c r="E14" i="23"/>
  <c r="J14" i="23" s="1"/>
  <c r="U14" i="23" s="1"/>
  <c r="AD14" i="23" s="1"/>
  <c r="AL14" i="23" s="1"/>
  <c r="E23" i="24"/>
  <c r="J23" i="24" s="1"/>
  <c r="U23" i="24" s="1"/>
  <c r="AD23" i="24" s="1"/>
  <c r="AL23" i="24" s="1"/>
  <c r="E23" i="22"/>
  <c r="E23" i="23"/>
  <c r="J23" i="23" s="1"/>
  <c r="U23" i="23" s="1"/>
  <c r="AD23" i="23" s="1"/>
  <c r="AL23" i="23" s="1"/>
  <c r="E23" i="25"/>
  <c r="J23" i="25" s="1"/>
  <c r="U23" i="25" s="1"/>
  <c r="AD23" i="25" s="1"/>
  <c r="AL23" i="25" s="1"/>
  <c r="E62" i="14"/>
  <c r="E30" i="25"/>
  <c r="J30" i="25" s="1"/>
  <c r="U30" i="25" s="1"/>
  <c r="AD30" i="25" s="1"/>
  <c r="AL30" i="25" s="1"/>
  <c r="E30" i="24"/>
  <c r="J30" i="24" s="1"/>
  <c r="U30" i="24" s="1"/>
  <c r="AD30" i="24" s="1"/>
  <c r="AL30" i="24" s="1"/>
  <c r="E30" i="23"/>
  <c r="J30" i="23" s="1"/>
  <c r="U30" i="23" s="1"/>
  <c r="AD30" i="23" s="1"/>
  <c r="AL30" i="23" s="1"/>
  <c r="E30" i="22"/>
  <c r="E54" i="25"/>
  <c r="J54" i="25" s="1"/>
  <c r="U54" i="25" s="1"/>
  <c r="AD54" i="25" s="1"/>
  <c r="AL54" i="25" s="1"/>
  <c r="E54" i="24"/>
  <c r="J54" i="24" s="1"/>
  <c r="U54" i="24" s="1"/>
  <c r="AD54" i="24" s="1"/>
  <c r="AL54" i="24" s="1"/>
  <c r="E54" i="23"/>
  <c r="J54" i="23" s="1"/>
  <c r="U54" i="23" s="1"/>
  <c r="AD54" i="23" s="1"/>
  <c r="AL54" i="23" s="1"/>
  <c r="E54" i="22"/>
  <c r="E8" i="23"/>
  <c r="E8" i="22"/>
  <c r="E8" i="24"/>
  <c r="E8" i="25"/>
  <c r="E67" i="25"/>
  <c r="J67" i="25" s="1"/>
  <c r="U67" i="25" s="1"/>
  <c r="AD67" i="25" s="1"/>
  <c r="AL67" i="25" s="1"/>
  <c r="E67" i="24"/>
  <c r="J67" i="24" s="1"/>
  <c r="U67" i="24" s="1"/>
  <c r="AD67" i="24" s="1"/>
  <c r="AL67" i="24" s="1"/>
  <c r="E67" i="23"/>
  <c r="J67" i="23" s="1"/>
  <c r="U67" i="23" s="1"/>
  <c r="AD67" i="23" s="1"/>
  <c r="AL67" i="23" s="1"/>
  <c r="E67" i="22"/>
  <c r="E12" i="25"/>
  <c r="J12" i="25" s="1"/>
  <c r="U12" i="25" s="1"/>
  <c r="AD12" i="25" s="1"/>
  <c r="AL12" i="25" s="1"/>
  <c r="E12" i="23"/>
  <c r="J12" i="23" s="1"/>
  <c r="U12" i="23" s="1"/>
  <c r="AD12" i="23" s="1"/>
  <c r="AL12" i="23" s="1"/>
  <c r="E12" i="22"/>
  <c r="E12" i="24"/>
  <c r="J12" i="24" s="1"/>
  <c r="U12" i="24" s="1"/>
  <c r="AD12" i="24" s="1"/>
  <c r="AL12" i="24" s="1"/>
  <c r="E34" i="25"/>
  <c r="J34" i="25" s="1"/>
  <c r="U34" i="25" s="1"/>
  <c r="AD34" i="25" s="1"/>
  <c r="AL34" i="25" s="1"/>
  <c r="E34" i="22"/>
  <c r="E34" i="24"/>
  <c r="J34" i="24" s="1"/>
  <c r="U34" i="24" s="1"/>
  <c r="AD34" i="24" s="1"/>
  <c r="AL34" i="24" s="1"/>
  <c r="E34" i="23"/>
  <c r="J34" i="23" s="1"/>
  <c r="U34" i="23" s="1"/>
  <c r="AD34" i="23" s="1"/>
  <c r="AL34" i="23" s="1"/>
  <c r="E20" i="24"/>
  <c r="J20" i="24" s="1"/>
  <c r="U20" i="24" s="1"/>
  <c r="AD20" i="24" s="1"/>
  <c r="AL20" i="24" s="1"/>
  <c r="E20" i="25"/>
  <c r="J20" i="25" s="1"/>
  <c r="U20" i="25" s="1"/>
  <c r="AD20" i="25" s="1"/>
  <c r="AL20" i="25" s="1"/>
  <c r="E20" i="23"/>
  <c r="J20" i="23" s="1"/>
  <c r="U20" i="23" s="1"/>
  <c r="AD20" i="23" s="1"/>
  <c r="AL20" i="23" s="1"/>
  <c r="E20" i="22"/>
  <c r="E68" i="25"/>
  <c r="J68" i="25" s="1"/>
  <c r="U68" i="25" s="1"/>
  <c r="AD68" i="25" s="1"/>
  <c r="AL68" i="25" s="1"/>
  <c r="E68" i="23"/>
  <c r="J68" i="23" s="1"/>
  <c r="U68" i="23" s="1"/>
  <c r="AD68" i="23" s="1"/>
  <c r="AL68" i="23" s="1"/>
  <c r="E68" i="22"/>
  <c r="E68" i="24"/>
  <c r="J68" i="24" s="1"/>
  <c r="U68" i="24" s="1"/>
  <c r="AD68" i="24" s="1"/>
  <c r="AL68" i="24" s="1"/>
  <c r="E38" i="25"/>
  <c r="J38" i="25" s="1"/>
  <c r="U38" i="25" s="1"/>
  <c r="AD38" i="25" s="1"/>
  <c r="AL38" i="25" s="1"/>
  <c r="E38" i="24"/>
  <c r="J38" i="24" s="1"/>
  <c r="U38" i="24" s="1"/>
  <c r="AD38" i="24" s="1"/>
  <c r="AL38" i="24" s="1"/>
  <c r="E38" i="23"/>
  <c r="J38" i="23" s="1"/>
  <c r="U38" i="23" s="1"/>
  <c r="AD38" i="23" s="1"/>
  <c r="AL38" i="23" s="1"/>
  <c r="E38" i="22"/>
  <c r="E13" i="25"/>
  <c r="J13" i="25" s="1"/>
  <c r="U13" i="25" s="1"/>
  <c r="AD13" i="25" s="1"/>
  <c r="AL13" i="25" s="1"/>
  <c r="E13" i="24"/>
  <c r="J13" i="24" s="1"/>
  <c r="U13" i="24" s="1"/>
  <c r="AD13" i="24" s="1"/>
  <c r="AL13" i="24" s="1"/>
  <c r="E13" i="23"/>
  <c r="J13" i="23" s="1"/>
  <c r="U13" i="23" s="1"/>
  <c r="AD13" i="23" s="1"/>
  <c r="AL13" i="23" s="1"/>
  <c r="E13" i="22"/>
  <c r="E61" i="25"/>
  <c r="J61" i="25" s="1"/>
  <c r="U61" i="25" s="1"/>
  <c r="AD61" i="25" s="1"/>
  <c r="AL61" i="25" s="1"/>
  <c r="E61" i="24"/>
  <c r="J61" i="24" s="1"/>
  <c r="U61" i="24" s="1"/>
  <c r="AD61" i="24" s="1"/>
  <c r="AL61" i="24" s="1"/>
  <c r="E61" i="23"/>
  <c r="J61" i="23" s="1"/>
  <c r="U61" i="23" s="1"/>
  <c r="AD61" i="23" s="1"/>
  <c r="AL61" i="23" s="1"/>
  <c r="E61" i="22"/>
  <c r="E66" i="25"/>
  <c r="J66" i="25" s="1"/>
  <c r="U66" i="25" s="1"/>
  <c r="AD66" i="25" s="1"/>
  <c r="AL66" i="25" s="1"/>
  <c r="E66" i="22"/>
  <c r="E66" i="24"/>
  <c r="J66" i="24" s="1"/>
  <c r="U66" i="24" s="1"/>
  <c r="AD66" i="24" s="1"/>
  <c r="AL66" i="24" s="1"/>
  <c r="E66" i="23"/>
  <c r="J66" i="23" s="1"/>
  <c r="U66" i="23" s="1"/>
  <c r="AD66" i="23" s="1"/>
  <c r="AL66" i="23" s="1"/>
  <c r="E50" i="25"/>
  <c r="J50" i="25" s="1"/>
  <c r="U50" i="25" s="1"/>
  <c r="AD50" i="25" s="1"/>
  <c r="AL50" i="25" s="1"/>
  <c r="E50" i="24"/>
  <c r="J50" i="24" s="1"/>
  <c r="U50" i="24" s="1"/>
  <c r="AD50" i="24" s="1"/>
  <c r="AL50" i="24" s="1"/>
  <c r="E50" i="23"/>
  <c r="J50" i="23" s="1"/>
  <c r="U50" i="23" s="1"/>
  <c r="AD50" i="23" s="1"/>
  <c r="AL50" i="23" s="1"/>
  <c r="E50" i="22"/>
  <c r="E28" i="14"/>
  <c r="E55" i="24"/>
  <c r="J55" i="24" s="1"/>
  <c r="U55" i="24" s="1"/>
  <c r="AD55" i="24" s="1"/>
  <c r="AL55" i="24" s="1"/>
  <c r="E55" i="23"/>
  <c r="J55" i="23" s="1"/>
  <c r="U55" i="23" s="1"/>
  <c r="AD55" i="23" s="1"/>
  <c r="AL55" i="23" s="1"/>
  <c r="E55" i="22"/>
  <c r="E55" i="25"/>
  <c r="J55" i="25" s="1"/>
  <c r="U55" i="25" s="1"/>
  <c r="AD55" i="25" s="1"/>
  <c r="AL55" i="25" s="1"/>
  <c r="E48" i="23"/>
  <c r="J48" i="23" s="1"/>
  <c r="U48" i="23" s="1"/>
  <c r="AD48" i="23" s="1"/>
  <c r="AL48" i="23" s="1"/>
  <c r="E48" i="22"/>
  <c r="E48" i="24"/>
  <c r="J48" i="24" s="1"/>
  <c r="U48" i="24" s="1"/>
  <c r="AD48" i="24" s="1"/>
  <c r="AL48" i="24" s="1"/>
  <c r="E48" i="25"/>
  <c r="J48" i="25" s="1"/>
  <c r="U48" i="25" s="1"/>
  <c r="AD48" i="25" s="1"/>
  <c r="AL48" i="25" s="1"/>
  <c r="E41" i="22"/>
  <c r="E41" i="25"/>
  <c r="J41" i="25" s="1"/>
  <c r="U41" i="25" s="1"/>
  <c r="AD41" i="25" s="1"/>
  <c r="AL41" i="25" s="1"/>
  <c r="E41" i="23"/>
  <c r="J41" i="23" s="1"/>
  <c r="U41" i="23" s="1"/>
  <c r="AD41" i="23" s="1"/>
  <c r="AL41" i="23" s="1"/>
  <c r="E41" i="24"/>
  <c r="J41" i="24" s="1"/>
  <c r="U41" i="24" s="1"/>
  <c r="AD41" i="24" s="1"/>
  <c r="AL41" i="24" s="1"/>
  <c r="E31" i="23"/>
  <c r="J31" i="23" s="1"/>
  <c r="U31" i="23" s="1"/>
  <c r="AD31" i="23" s="1"/>
  <c r="AL31" i="23" s="1"/>
  <c r="E31" i="22"/>
  <c r="E31" i="25"/>
  <c r="J31" i="25" s="1"/>
  <c r="U31" i="25" s="1"/>
  <c r="AD31" i="25" s="1"/>
  <c r="AL31" i="25" s="1"/>
  <c r="E31" i="24"/>
  <c r="J31" i="24" s="1"/>
  <c r="U31" i="24" s="1"/>
  <c r="AD31" i="24" s="1"/>
  <c r="AL31" i="24" s="1"/>
  <c r="E29" i="25"/>
  <c r="J29" i="25" s="1"/>
  <c r="U29" i="25" s="1"/>
  <c r="AD29" i="25" s="1"/>
  <c r="AL29" i="25" s="1"/>
  <c r="E29" i="24"/>
  <c r="J29" i="24" s="1"/>
  <c r="U29" i="24" s="1"/>
  <c r="AD29" i="24" s="1"/>
  <c r="AL29" i="24" s="1"/>
  <c r="E29" i="22"/>
  <c r="E29" i="23"/>
  <c r="J29" i="23" s="1"/>
  <c r="U29" i="23" s="1"/>
  <c r="AD29" i="23" s="1"/>
  <c r="AL29" i="23" s="1"/>
  <c r="E42" i="25"/>
  <c r="J42" i="25" s="1"/>
  <c r="U42" i="25" s="1"/>
  <c r="AD42" i="25" s="1"/>
  <c r="AL42" i="25" s="1"/>
  <c r="E42" i="24"/>
  <c r="J42" i="24" s="1"/>
  <c r="U42" i="24" s="1"/>
  <c r="AD42" i="24" s="1"/>
  <c r="AL42" i="24" s="1"/>
  <c r="E42" i="22"/>
  <c r="E42" i="23"/>
  <c r="J42" i="23" s="1"/>
  <c r="U42" i="23" s="1"/>
  <c r="AD42" i="23" s="1"/>
  <c r="AL42" i="23" s="1"/>
  <c r="E64" i="23"/>
  <c r="J64" i="23" s="1"/>
  <c r="U64" i="23" s="1"/>
  <c r="AD64" i="23" s="1"/>
  <c r="AL64" i="23" s="1"/>
  <c r="E64" i="25"/>
  <c r="J64" i="25" s="1"/>
  <c r="U64" i="25" s="1"/>
  <c r="AD64" i="25" s="1"/>
  <c r="AL64" i="25" s="1"/>
  <c r="E64" i="24"/>
  <c r="J64" i="24" s="1"/>
  <c r="U64" i="24" s="1"/>
  <c r="AD64" i="24" s="1"/>
  <c r="AL64" i="24" s="1"/>
  <c r="E64" i="22"/>
  <c r="E21" i="23"/>
  <c r="J21" i="23" s="1"/>
  <c r="U21" i="23" s="1"/>
  <c r="AD21" i="23" s="1"/>
  <c r="AL21" i="23" s="1"/>
  <c r="E21" i="24"/>
  <c r="J21" i="24" s="1"/>
  <c r="U21" i="24" s="1"/>
  <c r="AD21" i="24" s="1"/>
  <c r="AL21" i="24" s="1"/>
  <c r="E21" i="25"/>
  <c r="J21" i="25" s="1"/>
  <c r="U21" i="25" s="1"/>
  <c r="AD21" i="25" s="1"/>
  <c r="AL21" i="25" s="1"/>
  <c r="E21" i="22"/>
  <c r="E40" i="23"/>
  <c r="J40" i="23" s="1"/>
  <c r="U40" i="23" s="1"/>
  <c r="AD40" i="23" s="1"/>
  <c r="AL40" i="23" s="1"/>
  <c r="E40" i="22"/>
  <c r="E40" i="25"/>
  <c r="J40" i="25" s="1"/>
  <c r="U40" i="25" s="1"/>
  <c r="AD40" i="25" s="1"/>
  <c r="AL40" i="25" s="1"/>
  <c r="E40" i="24"/>
  <c r="J40" i="24" s="1"/>
  <c r="U40" i="24" s="1"/>
  <c r="AD40" i="24" s="1"/>
  <c r="AL40" i="24" s="1"/>
  <c r="E36" i="24"/>
  <c r="J36" i="24" s="1"/>
  <c r="U36" i="24" s="1"/>
  <c r="AD36" i="24" s="1"/>
  <c r="AL36" i="24" s="1"/>
  <c r="E36" i="23"/>
  <c r="J36" i="23" s="1"/>
  <c r="U36" i="23" s="1"/>
  <c r="AD36" i="23" s="1"/>
  <c r="AL36" i="23" s="1"/>
  <c r="E36" i="22"/>
  <c r="E36" i="25"/>
  <c r="J36" i="25" s="1"/>
  <c r="U36" i="25" s="1"/>
  <c r="AD36" i="25" s="1"/>
  <c r="AL36" i="25" s="1"/>
  <c r="E15" i="24"/>
  <c r="J15" i="24" s="1"/>
  <c r="U15" i="24" s="1"/>
  <c r="AD15" i="24" s="1"/>
  <c r="AL15" i="24" s="1"/>
  <c r="E15" i="23"/>
  <c r="J15" i="23" s="1"/>
  <c r="U15" i="23" s="1"/>
  <c r="AD15" i="23" s="1"/>
  <c r="AL15" i="23" s="1"/>
  <c r="E15" i="22"/>
  <c r="E15" i="25"/>
  <c r="J15" i="25" s="1"/>
  <c r="U15" i="25" s="1"/>
  <c r="AD15" i="25" s="1"/>
  <c r="AL15" i="25" s="1"/>
  <c r="E49" i="22"/>
  <c r="E49" i="23"/>
  <c r="J49" i="23" s="1"/>
  <c r="U49" i="23" s="1"/>
  <c r="AD49" i="23" s="1"/>
  <c r="AL49" i="23" s="1"/>
  <c r="E49" i="25"/>
  <c r="J49" i="25" s="1"/>
  <c r="U49" i="25" s="1"/>
  <c r="AD49" i="25" s="1"/>
  <c r="AL49" i="25" s="1"/>
  <c r="E49" i="24"/>
  <c r="J49" i="24" s="1"/>
  <c r="U49" i="24" s="1"/>
  <c r="AD49" i="24" s="1"/>
  <c r="AL49" i="24" s="1"/>
  <c r="E43" i="14"/>
  <c r="J18" i="21"/>
  <c r="U18" i="21" s="1"/>
  <c r="U21" i="21"/>
  <c r="AD21" i="21" s="1"/>
  <c r="J16" i="21"/>
  <c r="U16" i="21" s="1"/>
  <c r="U20" i="21"/>
  <c r="AD20" i="21" s="1"/>
  <c r="AL20" i="21" s="1"/>
  <c r="U24" i="21"/>
  <c r="AD24" i="21" s="1"/>
  <c r="U22" i="21"/>
  <c r="U23" i="21"/>
  <c r="U27" i="21"/>
  <c r="AD27" i="21" s="1"/>
  <c r="J13" i="21"/>
  <c r="U13" i="21" s="1"/>
  <c r="J12" i="21"/>
  <c r="H64" i="14"/>
  <c r="H46" i="14"/>
  <c r="H63" i="14"/>
  <c r="H53" i="14"/>
  <c r="H69" i="14"/>
  <c r="H54" i="14"/>
  <c r="H52" i="14"/>
  <c r="H70" i="14"/>
  <c r="H62" i="14"/>
  <c r="H57" i="14"/>
  <c r="H65" i="14"/>
  <c r="H50" i="14"/>
  <c r="H67" i="14"/>
  <c r="H60" i="14"/>
  <c r="J9" i="21"/>
  <c r="U9" i="21" s="1"/>
  <c r="AD41" i="21"/>
  <c r="U40" i="21"/>
  <c r="J14" i="21"/>
  <c r="U14" i="21" s="1"/>
  <c r="U34" i="21"/>
  <c r="H58" i="14"/>
  <c r="U29" i="21"/>
  <c r="H56" i="14"/>
  <c r="AD33" i="21"/>
  <c r="AD37" i="21"/>
  <c r="H45" i="14"/>
  <c r="J10" i="21"/>
  <c r="J11" i="21"/>
  <c r="H47" i="14"/>
  <c r="H55" i="14"/>
  <c r="H61" i="14"/>
  <c r="U30" i="21"/>
  <c r="AD31" i="21"/>
  <c r="F8" i="14"/>
  <c r="F71" i="14" s="1"/>
  <c r="F71" i="21"/>
  <c r="J8" i="21"/>
  <c r="AL38" i="21"/>
  <c r="U28" i="21"/>
  <c r="U19" i="21"/>
  <c r="U25" i="21"/>
  <c r="U35" i="21"/>
  <c r="U32" i="21"/>
  <c r="AL36" i="21"/>
  <c r="H59" i="14"/>
  <c r="AL39" i="21"/>
  <c r="AD26" i="21"/>
  <c r="H66" i="14"/>
  <c r="H48" i="14"/>
  <c r="H49" i="14"/>
  <c r="H71" i="21" l="1"/>
  <c r="I7" i="40" s="1"/>
  <c r="K7" i="40" s="1"/>
  <c r="H44" i="14"/>
  <c r="H43" i="14"/>
  <c r="H42" i="14"/>
  <c r="J49" i="22"/>
  <c r="U49" i="22" s="1"/>
  <c r="AD49" i="22" s="1"/>
  <c r="AL49" i="22" s="1"/>
  <c r="E49" i="14"/>
  <c r="J13" i="22"/>
  <c r="U13" i="22" s="1"/>
  <c r="AD13" i="22" s="1"/>
  <c r="AL13" i="22" s="1"/>
  <c r="E13" i="14"/>
  <c r="J8" i="23"/>
  <c r="E71" i="23"/>
  <c r="J63" i="22"/>
  <c r="U63" i="22" s="1"/>
  <c r="AD63" i="22" s="1"/>
  <c r="AL63" i="22" s="1"/>
  <c r="E63" i="14"/>
  <c r="J51" i="22"/>
  <c r="U51" i="22" s="1"/>
  <c r="AD51" i="22" s="1"/>
  <c r="AL51" i="22" s="1"/>
  <c r="E51" i="14"/>
  <c r="J70" i="22"/>
  <c r="U70" i="22" s="1"/>
  <c r="AD70" i="22" s="1"/>
  <c r="AL70" i="22" s="1"/>
  <c r="E70" i="14"/>
  <c r="J37" i="22"/>
  <c r="U37" i="22" s="1"/>
  <c r="AD37" i="22" s="1"/>
  <c r="AL37" i="22" s="1"/>
  <c r="E37" i="14"/>
  <c r="J47" i="22"/>
  <c r="U47" i="22" s="1"/>
  <c r="AD47" i="22" s="1"/>
  <c r="AL47" i="22" s="1"/>
  <c r="E47" i="14"/>
  <c r="J27" i="22"/>
  <c r="E27" i="14"/>
  <c r="J19" i="22"/>
  <c r="E19" i="14"/>
  <c r="J64" i="22"/>
  <c r="U64" i="22" s="1"/>
  <c r="AD64" i="22" s="1"/>
  <c r="AL64" i="22" s="1"/>
  <c r="E64" i="14"/>
  <c r="J68" i="22"/>
  <c r="U68" i="22" s="1"/>
  <c r="AD68" i="22" s="1"/>
  <c r="AL68" i="22" s="1"/>
  <c r="E68" i="14"/>
  <c r="J67" i="22"/>
  <c r="U67" i="22" s="1"/>
  <c r="AD67" i="22" s="1"/>
  <c r="AL67" i="22" s="1"/>
  <c r="E67" i="14"/>
  <c r="J54" i="22"/>
  <c r="U54" i="22" s="1"/>
  <c r="AD54" i="22" s="1"/>
  <c r="AL54" i="22" s="1"/>
  <c r="E54" i="14"/>
  <c r="J23" i="22"/>
  <c r="E23" i="14"/>
  <c r="J24" i="22"/>
  <c r="E24" i="14"/>
  <c r="J29" i="22"/>
  <c r="E29" i="14"/>
  <c r="J55" i="22"/>
  <c r="U55" i="22" s="1"/>
  <c r="AD55" i="22" s="1"/>
  <c r="AL55" i="22" s="1"/>
  <c r="E55" i="14"/>
  <c r="J66" i="22"/>
  <c r="U66" i="22" s="1"/>
  <c r="AD66" i="22" s="1"/>
  <c r="AL66" i="22" s="1"/>
  <c r="E66" i="14"/>
  <c r="J34" i="22"/>
  <c r="E34" i="14"/>
  <c r="J57" i="22"/>
  <c r="U57" i="22" s="1"/>
  <c r="AD57" i="22" s="1"/>
  <c r="AL57" i="22" s="1"/>
  <c r="E57" i="14"/>
  <c r="J17" i="22"/>
  <c r="E17" i="14"/>
  <c r="J40" i="22"/>
  <c r="U40" i="22" s="1"/>
  <c r="AD40" i="22" s="1"/>
  <c r="AL40" i="22" s="1"/>
  <c r="E40" i="14"/>
  <c r="J46" i="22"/>
  <c r="U46" i="22" s="1"/>
  <c r="AD46" i="22" s="1"/>
  <c r="AL46" i="22" s="1"/>
  <c r="E46" i="14"/>
  <c r="J15" i="22"/>
  <c r="E15" i="14"/>
  <c r="J41" i="22"/>
  <c r="U41" i="22" s="1"/>
  <c r="AD41" i="22" s="1"/>
  <c r="AL41" i="22" s="1"/>
  <c r="E41" i="14"/>
  <c r="J50" i="22"/>
  <c r="U50" i="22" s="1"/>
  <c r="AD50" i="22" s="1"/>
  <c r="AL50" i="22" s="1"/>
  <c r="E50" i="14"/>
  <c r="J61" i="22"/>
  <c r="U61" i="22" s="1"/>
  <c r="AD61" i="22" s="1"/>
  <c r="AL61" i="22" s="1"/>
  <c r="E61" i="14"/>
  <c r="J38" i="22"/>
  <c r="U38" i="22" s="1"/>
  <c r="AD38" i="22" s="1"/>
  <c r="AL38" i="22" s="1"/>
  <c r="E38" i="14"/>
  <c r="J20" i="22"/>
  <c r="E20" i="14"/>
  <c r="J14" i="22"/>
  <c r="U14" i="22" s="1"/>
  <c r="AD14" i="22" s="1"/>
  <c r="AL14" i="22" s="1"/>
  <c r="E14" i="14"/>
  <c r="J39" i="22"/>
  <c r="U39" i="22" s="1"/>
  <c r="AD39" i="22" s="1"/>
  <c r="AL39" i="22" s="1"/>
  <c r="E39" i="14"/>
  <c r="J58" i="22"/>
  <c r="U58" i="22" s="1"/>
  <c r="AD58" i="22" s="1"/>
  <c r="AL58" i="22" s="1"/>
  <c r="E58" i="14"/>
  <c r="J53" i="22"/>
  <c r="U53" i="22" s="1"/>
  <c r="AD53" i="22" s="1"/>
  <c r="AL53" i="22" s="1"/>
  <c r="E53" i="14"/>
  <c r="J32" i="22"/>
  <c r="E32" i="14"/>
  <c r="J22" i="22"/>
  <c r="E22" i="14"/>
  <c r="J21" i="22"/>
  <c r="E21" i="14"/>
  <c r="J8" i="25"/>
  <c r="E71" i="25"/>
  <c r="J30" i="22"/>
  <c r="E30" i="14"/>
  <c r="J56" i="22"/>
  <c r="U56" i="22" s="1"/>
  <c r="AD56" i="22" s="1"/>
  <c r="AL56" i="22" s="1"/>
  <c r="E56" i="14"/>
  <c r="J36" i="22"/>
  <c r="E36" i="14"/>
  <c r="J42" i="22"/>
  <c r="U42" i="22" s="1"/>
  <c r="AD42" i="22" s="1"/>
  <c r="AL42" i="22" s="1"/>
  <c r="E42" i="14"/>
  <c r="J12" i="22"/>
  <c r="U12" i="22" s="1"/>
  <c r="AD12" i="22" s="1"/>
  <c r="AL12" i="22" s="1"/>
  <c r="E12" i="14"/>
  <c r="J8" i="24"/>
  <c r="E71" i="24"/>
  <c r="J65" i="22"/>
  <c r="U65" i="22" s="1"/>
  <c r="AD65" i="22" s="1"/>
  <c r="AL65" i="22" s="1"/>
  <c r="E65" i="14"/>
  <c r="J33" i="22"/>
  <c r="E33" i="14"/>
  <c r="J26" i="22"/>
  <c r="E26" i="14"/>
  <c r="J31" i="22"/>
  <c r="E31" i="14"/>
  <c r="J48" i="22"/>
  <c r="U48" i="22" s="1"/>
  <c r="AD48" i="22" s="1"/>
  <c r="AL48" i="22" s="1"/>
  <c r="E48" i="14"/>
  <c r="J8" i="22"/>
  <c r="E71" i="22"/>
  <c r="E8" i="14"/>
  <c r="J35" i="22"/>
  <c r="E35" i="14"/>
  <c r="J59" i="22"/>
  <c r="U59" i="22" s="1"/>
  <c r="AD59" i="22" s="1"/>
  <c r="AL59" i="22" s="1"/>
  <c r="E59" i="14"/>
  <c r="J9" i="14"/>
  <c r="AD23" i="21"/>
  <c r="AL23" i="21" s="1"/>
  <c r="AD22" i="21"/>
  <c r="U12" i="21"/>
  <c r="AD13" i="21"/>
  <c r="AL13" i="21" s="1"/>
  <c r="AD40" i="21"/>
  <c r="AL41" i="21"/>
  <c r="AD34" i="21"/>
  <c r="AD35" i="21"/>
  <c r="AD30" i="21"/>
  <c r="AD14" i="21"/>
  <c r="AL37" i="21"/>
  <c r="AD15" i="21"/>
  <c r="AD25" i="21"/>
  <c r="U8" i="21"/>
  <c r="J11" i="14"/>
  <c r="CX77" i="26" s="1"/>
  <c r="U11" i="21"/>
  <c r="AD9" i="21"/>
  <c r="AL33" i="21"/>
  <c r="AL26" i="21"/>
  <c r="AD19" i="21"/>
  <c r="J10" i="14"/>
  <c r="U10" i="21"/>
  <c r="AD29" i="21"/>
  <c r="AD16" i="21"/>
  <c r="AD28" i="21"/>
  <c r="AL24" i="21"/>
  <c r="AD32" i="21"/>
  <c r="AL27" i="21"/>
  <c r="AL31" i="21"/>
  <c r="AD18" i="21"/>
  <c r="AD17" i="21"/>
  <c r="AL21" i="21"/>
  <c r="J7" i="40" l="1"/>
  <c r="L7" i="40" s="1"/>
  <c r="M7" i="40" s="1"/>
  <c r="D7" i="40" s="1"/>
  <c r="G22" i="40" s="1"/>
  <c r="H22" i="40" s="1"/>
  <c r="CX91" i="26"/>
  <c r="DH91" i="26" s="1"/>
  <c r="DH77" i="26"/>
  <c r="H71" i="14"/>
  <c r="J8" i="14"/>
  <c r="U36" i="22"/>
  <c r="U21" i="22"/>
  <c r="U19" i="22"/>
  <c r="U8" i="23"/>
  <c r="J71" i="23"/>
  <c r="CA44" i="26" s="1"/>
  <c r="CA59" i="26" s="1"/>
  <c r="AU47" i="26"/>
  <c r="E71" i="14"/>
  <c r="U26" i="22"/>
  <c r="U32" i="22"/>
  <c r="U34" i="22"/>
  <c r="U23" i="22"/>
  <c r="U24" i="22"/>
  <c r="U27" i="22"/>
  <c r="U33" i="22"/>
  <c r="J71" i="24"/>
  <c r="CB44" i="26" s="1"/>
  <c r="CB59" i="26" s="1"/>
  <c r="U8" i="24"/>
  <c r="AU48" i="26"/>
  <c r="U30" i="22"/>
  <c r="U15" i="22"/>
  <c r="J71" i="22"/>
  <c r="BZ44" i="26" s="1"/>
  <c r="U8" i="22"/>
  <c r="AU46" i="26"/>
  <c r="U31" i="22"/>
  <c r="U17" i="22"/>
  <c r="U35" i="22"/>
  <c r="U8" i="25"/>
  <c r="J71" i="25"/>
  <c r="CC44" i="26" s="1"/>
  <c r="CC59" i="26" s="1"/>
  <c r="AU49" i="26"/>
  <c r="U22" i="22"/>
  <c r="U20" i="22"/>
  <c r="U29" i="22"/>
  <c r="AL22" i="21"/>
  <c r="AD12" i="21"/>
  <c r="AL34" i="21"/>
  <c r="AL40" i="21"/>
  <c r="AL28" i="21"/>
  <c r="AL19" i="21"/>
  <c r="AL9" i="21"/>
  <c r="AL18" i="21"/>
  <c r="AD11" i="21"/>
  <c r="AL14" i="21"/>
  <c r="AL25" i="21"/>
  <c r="AL32" i="21"/>
  <c r="AL16" i="21"/>
  <c r="AD10" i="21"/>
  <c r="AD8" i="21"/>
  <c r="AL30" i="21"/>
  <c r="AL17" i="21"/>
  <c r="AL29" i="21"/>
  <c r="AL15" i="21"/>
  <c r="AL35" i="21"/>
  <c r="BZ59" i="26" l="1"/>
  <c r="BG85" i="26"/>
  <c r="AD35" i="22"/>
  <c r="AD33" i="22"/>
  <c r="AD20" i="22"/>
  <c r="AD15" i="22"/>
  <c r="AD34" i="22"/>
  <c r="AD8" i="23"/>
  <c r="U71" i="23"/>
  <c r="AD17" i="22"/>
  <c r="AD27" i="22"/>
  <c r="AD22" i="22"/>
  <c r="AD30" i="22"/>
  <c r="AD32" i="22"/>
  <c r="AD19" i="22"/>
  <c r="AD31" i="22"/>
  <c r="AD24" i="22"/>
  <c r="AD8" i="24"/>
  <c r="U71" i="24"/>
  <c r="AD26" i="22"/>
  <c r="AD21" i="22"/>
  <c r="AD8" i="25"/>
  <c r="U71" i="25"/>
  <c r="AD8" i="22"/>
  <c r="U71" i="22"/>
  <c r="AD29" i="22"/>
  <c r="AD23" i="22"/>
  <c r="AD36" i="22"/>
  <c r="F16" i="40"/>
  <c r="G16" i="40" s="1"/>
  <c r="H16" i="40" s="1"/>
  <c r="F14" i="40"/>
  <c r="G14" i="40" s="1"/>
  <c r="H14" i="40" s="1"/>
  <c r="F15" i="40"/>
  <c r="G15" i="40" s="1"/>
  <c r="H15" i="40" s="1"/>
  <c r="AL12" i="21"/>
  <c r="AL11" i="21"/>
  <c r="AL8" i="21"/>
  <c r="AL10" i="21"/>
  <c r="AL8" i="22" l="1"/>
  <c r="AD71" i="22"/>
  <c r="AL8" i="24"/>
  <c r="AD71" i="24"/>
  <c r="AL19" i="22"/>
  <c r="AL27" i="22"/>
  <c r="AL15" i="22"/>
  <c r="AL36" i="22"/>
  <c r="AL8" i="25"/>
  <c r="AD71" i="25"/>
  <c r="AL32" i="22"/>
  <c r="AL17" i="22"/>
  <c r="AL24" i="22"/>
  <c r="AL20" i="22"/>
  <c r="AL23" i="22"/>
  <c r="AL21" i="22"/>
  <c r="AL30" i="22"/>
  <c r="AL31" i="22"/>
  <c r="AL8" i="23"/>
  <c r="AD71" i="23"/>
  <c r="AL33" i="22"/>
  <c r="AL29" i="22"/>
  <c r="AL26" i="22"/>
  <c r="AL22" i="22"/>
  <c r="AL34" i="22"/>
  <c r="AL35" i="22"/>
  <c r="F17" i="40"/>
  <c r="G17" i="40" s="1"/>
  <c r="H17" i="40" s="1"/>
  <c r="AM8" i="21"/>
  <c r="AM8" i="25" l="1"/>
  <c r="AM9" i="25" s="1"/>
  <c r="AM10" i="25" s="1"/>
  <c r="AM11" i="25" s="1"/>
  <c r="AM12" i="25" s="1"/>
  <c r="AM13" i="25" s="1"/>
  <c r="AM14" i="25" s="1"/>
  <c r="AM15" i="25" s="1"/>
  <c r="AM16" i="25" s="1"/>
  <c r="AM17" i="25" s="1"/>
  <c r="AM18" i="25" s="1"/>
  <c r="AM19" i="25" s="1"/>
  <c r="AM20" i="25" s="1"/>
  <c r="AM21" i="25" s="1"/>
  <c r="AM22" i="25" s="1"/>
  <c r="AM23" i="25" s="1"/>
  <c r="AM24" i="25" s="1"/>
  <c r="AM25" i="25" s="1"/>
  <c r="AM26" i="25" s="1"/>
  <c r="AM27" i="25" s="1"/>
  <c r="AM28" i="25" s="1"/>
  <c r="AM29" i="25" s="1"/>
  <c r="AM30" i="25" s="1"/>
  <c r="AM31" i="25" s="1"/>
  <c r="AM32" i="25" s="1"/>
  <c r="AM33" i="25" s="1"/>
  <c r="AM34" i="25" s="1"/>
  <c r="AM35" i="25" s="1"/>
  <c r="AM36" i="25" s="1"/>
  <c r="AM37" i="25" s="1"/>
  <c r="AM38" i="25" s="1"/>
  <c r="AM39" i="25" s="1"/>
  <c r="AM40" i="25" s="1"/>
  <c r="AM41" i="25" s="1"/>
  <c r="AM42" i="25" s="1"/>
  <c r="AM43" i="25" s="1"/>
  <c r="AM44" i="25" s="1"/>
  <c r="AM45" i="25" s="1"/>
  <c r="AM46" i="25" s="1"/>
  <c r="AM47" i="25" s="1"/>
  <c r="AM48" i="25" s="1"/>
  <c r="AM49" i="25" s="1"/>
  <c r="AM50" i="25" s="1"/>
  <c r="AM51" i="25" s="1"/>
  <c r="AM52" i="25" s="1"/>
  <c r="AM53" i="25" s="1"/>
  <c r="AM54" i="25" s="1"/>
  <c r="AM55" i="25" s="1"/>
  <c r="AM56" i="25" s="1"/>
  <c r="AM57" i="25" s="1"/>
  <c r="AM58" i="25" s="1"/>
  <c r="AM59" i="25" s="1"/>
  <c r="AM60" i="25" s="1"/>
  <c r="AM61" i="25" s="1"/>
  <c r="AM62" i="25" s="1"/>
  <c r="AM63" i="25" s="1"/>
  <c r="AM64" i="25" s="1"/>
  <c r="AM65" i="25" s="1"/>
  <c r="AM66" i="25" s="1"/>
  <c r="AM67" i="25" s="1"/>
  <c r="AM68" i="25" s="1"/>
  <c r="AM69" i="25" s="1"/>
  <c r="AM70" i="25" s="1"/>
  <c r="AY49" i="26"/>
  <c r="AL71" i="25"/>
  <c r="AM8" i="24"/>
  <c r="AM9" i="24" s="1"/>
  <c r="AM10" i="24" s="1"/>
  <c r="AM11" i="24" s="1"/>
  <c r="AM12" i="24" s="1"/>
  <c r="AM13" i="24" s="1"/>
  <c r="AM14" i="24" s="1"/>
  <c r="AM15" i="24" s="1"/>
  <c r="AM16" i="24" s="1"/>
  <c r="AM17" i="24" s="1"/>
  <c r="AM18" i="24" s="1"/>
  <c r="AM19" i="24" s="1"/>
  <c r="AM20" i="24" s="1"/>
  <c r="AM21" i="24" s="1"/>
  <c r="AM22" i="24" s="1"/>
  <c r="AM23" i="24" s="1"/>
  <c r="AM24" i="24" s="1"/>
  <c r="AM25" i="24" s="1"/>
  <c r="AM26" i="24" s="1"/>
  <c r="AM27" i="24" s="1"/>
  <c r="AM28" i="24" s="1"/>
  <c r="AM29" i="24" s="1"/>
  <c r="AM30" i="24" s="1"/>
  <c r="AM31" i="24" s="1"/>
  <c r="AM32" i="24" s="1"/>
  <c r="AM33" i="24" s="1"/>
  <c r="AM34" i="24" s="1"/>
  <c r="AM35" i="24" s="1"/>
  <c r="AM36" i="24" s="1"/>
  <c r="AM37" i="24" s="1"/>
  <c r="AM38" i="24" s="1"/>
  <c r="AM39" i="24" s="1"/>
  <c r="AM40" i="24" s="1"/>
  <c r="AM41" i="24" s="1"/>
  <c r="AM42" i="24" s="1"/>
  <c r="AM43" i="24" s="1"/>
  <c r="AM44" i="24" s="1"/>
  <c r="AM45" i="24" s="1"/>
  <c r="AM46" i="24" s="1"/>
  <c r="AM47" i="24" s="1"/>
  <c r="AM48" i="24" s="1"/>
  <c r="AM49" i="24" s="1"/>
  <c r="AM50" i="24" s="1"/>
  <c r="AM51" i="24" s="1"/>
  <c r="AM52" i="24" s="1"/>
  <c r="AM53" i="24" s="1"/>
  <c r="AM54" i="24" s="1"/>
  <c r="AM55" i="24" s="1"/>
  <c r="AM56" i="24" s="1"/>
  <c r="AM57" i="24" s="1"/>
  <c r="AM58" i="24" s="1"/>
  <c r="AM59" i="24" s="1"/>
  <c r="AM60" i="24" s="1"/>
  <c r="AM61" i="24" s="1"/>
  <c r="AM62" i="24" s="1"/>
  <c r="AM63" i="24" s="1"/>
  <c r="AM64" i="24" s="1"/>
  <c r="AM65" i="24" s="1"/>
  <c r="AM66" i="24" s="1"/>
  <c r="AM67" i="24" s="1"/>
  <c r="AM68" i="24" s="1"/>
  <c r="AM69" i="24" s="1"/>
  <c r="AM70" i="24" s="1"/>
  <c r="AY48" i="26"/>
  <c r="AL71" i="24"/>
  <c r="AM8" i="23"/>
  <c r="AM9" i="23" s="1"/>
  <c r="AM10" i="23" s="1"/>
  <c r="AM11" i="23" s="1"/>
  <c r="AM12" i="23" s="1"/>
  <c r="AM13" i="23" s="1"/>
  <c r="AM14" i="23" s="1"/>
  <c r="AM15" i="23" s="1"/>
  <c r="AM16" i="23" s="1"/>
  <c r="AM17" i="23" s="1"/>
  <c r="AM18" i="23" s="1"/>
  <c r="AM19" i="23" s="1"/>
  <c r="AM20" i="23" s="1"/>
  <c r="AM21" i="23" s="1"/>
  <c r="AM22" i="23" s="1"/>
  <c r="AM23" i="23" s="1"/>
  <c r="AM24" i="23" s="1"/>
  <c r="AM25" i="23" s="1"/>
  <c r="AM26" i="23" s="1"/>
  <c r="AM27" i="23" s="1"/>
  <c r="AM28" i="23" s="1"/>
  <c r="AM29" i="23" s="1"/>
  <c r="AM30" i="23" s="1"/>
  <c r="AM31" i="23" s="1"/>
  <c r="AM32" i="23" s="1"/>
  <c r="AM33" i="23" s="1"/>
  <c r="AM34" i="23" s="1"/>
  <c r="AM35" i="23" s="1"/>
  <c r="AM36" i="23" s="1"/>
  <c r="AM37" i="23" s="1"/>
  <c r="AM38" i="23" s="1"/>
  <c r="AM39" i="23" s="1"/>
  <c r="AM40" i="23" s="1"/>
  <c r="AM41" i="23" s="1"/>
  <c r="AM42" i="23" s="1"/>
  <c r="AM43" i="23" s="1"/>
  <c r="AM44" i="23" s="1"/>
  <c r="AM45" i="23" s="1"/>
  <c r="AM46" i="23" s="1"/>
  <c r="AM47" i="23" s="1"/>
  <c r="AM48" i="23" s="1"/>
  <c r="AM49" i="23" s="1"/>
  <c r="AM50" i="23" s="1"/>
  <c r="AM51" i="23" s="1"/>
  <c r="AM52" i="23" s="1"/>
  <c r="AM53" i="23" s="1"/>
  <c r="AM54" i="23" s="1"/>
  <c r="AM55" i="23" s="1"/>
  <c r="AM56" i="23" s="1"/>
  <c r="AM57" i="23" s="1"/>
  <c r="AM58" i="23" s="1"/>
  <c r="AM59" i="23" s="1"/>
  <c r="AM60" i="23" s="1"/>
  <c r="AM61" i="23" s="1"/>
  <c r="AM62" i="23" s="1"/>
  <c r="AM63" i="23" s="1"/>
  <c r="AM64" i="23" s="1"/>
  <c r="AM65" i="23" s="1"/>
  <c r="AM66" i="23" s="1"/>
  <c r="AM67" i="23" s="1"/>
  <c r="AM68" i="23" s="1"/>
  <c r="AM69" i="23" s="1"/>
  <c r="AM70" i="23" s="1"/>
  <c r="AL71" i="23"/>
  <c r="AY47" i="26"/>
  <c r="AY46" i="26"/>
  <c r="AL71" i="22"/>
  <c r="AM8" i="22"/>
  <c r="AM9" i="22" s="1"/>
  <c r="AM10" i="22" s="1"/>
  <c r="AM11" i="22" s="1"/>
  <c r="AM12" i="22" s="1"/>
  <c r="AM13" i="22" s="1"/>
  <c r="AM14" i="22" s="1"/>
  <c r="AM15" i="22" s="1"/>
  <c r="AM16" i="22" s="1"/>
  <c r="AM17" i="22" s="1"/>
  <c r="AM18" i="22" s="1"/>
  <c r="AM19" i="22" s="1"/>
  <c r="AM20" i="22" s="1"/>
  <c r="AM21" i="22" s="1"/>
  <c r="AM22" i="22" s="1"/>
  <c r="AM23" i="22" s="1"/>
  <c r="AM24" i="22" s="1"/>
  <c r="AM25" i="22" s="1"/>
  <c r="AM26" i="22" s="1"/>
  <c r="AM27" i="22" s="1"/>
  <c r="AM28" i="22" s="1"/>
  <c r="AM29" i="22" s="1"/>
  <c r="AM30" i="22" s="1"/>
  <c r="AM31" i="22" s="1"/>
  <c r="AM32" i="22" s="1"/>
  <c r="AM33" i="22" s="1"/>
  <c r="AM34" i="22" s="1"/>
  <c r="AM35" i="22" s="1"/>
  <c r="AM36" i="22" s="1"/>
  <c r="AM37" i="22" s="1"/>
  <c r="AM38" i="22" s="1"/>
  <c r="AM39" i="22" s="1"/>
  <c r="AM40" i="22" s="1"/>
  <c r="AM41" i="22" s="1"/>
  <c r="AM42" i="22" s="1"/>
  <c r="AM43" i="22" s="1"/>
  <c r="AM44" i="22" s="1"/>
  <c r="AM45" i="22" s="1"/>
  <c r="AM46" i="22" s="1"/>
  <c r="AM47" i="22" s="1"/>
  <c r="AM48" i="22" s="1"/>
  <c r="AM49" i="22" s="1"/>
  <c r="AM50" i="22" s="1"/>
  <c r="AM51" i="22" s="1"/>
  <c r="AM52" i="22" s="1"/>
  <c r="AM53" i="22" s="1"/>
  <c r="AM54" i="22" s="1"/>
  <c r="AM55" i="22" s="1"/>
  <c r="AM56" i="22" s="1"/>
  <c r="AM57" i="22" s="1"/>
  <c r="AM58" i="22" s="1"/>
  <c r="AM59" i="22" s="1"/>
  <c r="AM60" i="22" s="1"/>
  <c r="AM61" i="22" s="1"/>
  <c r="AM62" i="22" s="1"/>
  <c r="AM63" i="22" s="1"/>
  <c r="AM64" i="22" s="1"/>
  <c r="AM65" i="22" s="1"/>
  <c r="AM66" i="22" s="1"/>
  <c r="AM67" i="22" s="1"/>
  <c r="AM68" i="22" s="1"/>
  <c r="AM69" i="22" s="1"/>
  <c r="AM70" i="22" s="1"/>
  <c r="BI60" i="26"/>
  <c r="G18" i="40"/>
  <c r="H18" i="40" s="1"/>
  <c r="H24" i="40" s="1"/>
  <c r="G19" i="40"/>
  <c r="H19" i="40" s="1"/>
  <c r="H25" i="40" s="1"/>
  <c r="AM9" i="21"/>
  <c r="G25" i="40" l="1"/>
  <c r="G24" i="40"/>
  <c r="AM10" i="21"/>
  <c r="I60" i="21" l="1"/>
  <c r="J60" i="21" s="1"/>
  <c r="U60" i="21" s="1"/>
  <c r="AD60" i="21" s="1"/>
  <c r="AL60" i="21" s="1"/>
  <c r="I44" i="21"/>
  <c r="J44" i="21" s="1"/>
  <c r="U44" i="21" s="1"/>
  <c r="AD44" i="21" s="1"/>
  <c r="AL44" i="21" s="1"/>
  <c r="I43" i="21"/>
  <c r="J43" i="21" s="1"/>
  <c r="U43" i="21" s="1"/>
  <c r="AD43" i="21" s="1"/>
  <c r="AL43" i="21" s="1"/>
  <c r="I42" i="21"/>
  <c r="J42" i="21" s="1"/>
  <c r="U42" i="21" s="1"/>
  <c r="AD42" i="21" s="1"/>
  <c r="AL42" i="21" s="1"/>
  <c r="I27" i="20"/>
  <c r="I16" i="20"/>
  <c r="I36" i="20"/>
  <c r="I12" i="20"/>
  <c r="I24" i="20"/>
  <c r="I15" i="20"/>
  <c r="I34" i="20"/>
  <c r="I18" i="20"/>
  <c r="I22" i="20"/>
  <c r="I29" i="20"/>
  <c r="I14" i="20"/>
  <c r="I31" i="20"/>
  <c r="I25" i="20"/>
  <c r="I30" i="20"/>
  <c r="I19" i="20"/>
  <c r="I17" i="20"/>
  <c r="I21" i="20"/>
  <c r="I32" i="20"/>
  <c r="I28" i="20"/>
  <c r="I33" i="20"/>
  <c r="I23" i="20"/>
  <c r="I26" i="20"/>
  <c r="I35" i="20"/>
  <c r="I13" i="20"/>
  <c r="I20" i="20"/>
  <c r="I52" i="20"/>
  <c r="J52" i="20" s="1"/>
  <c r="I48" i="20"/>
  <c r="J48" i="20" s="1"/>
  <c r="I49" i="20"/>
  <c r="J49" i="20" s="1"/>
  <c r="I68" i="20"/>
  <c r="J68" i="20" s="1"/>
  <c r="I47" i="20"/>
  <c r="J47" i="20" s="1"/>
  <c r="I59" i="20"/>
  <c r="J59" i="20" s="1"/>
  <c r="I63" i="20"/>
  <c r="J63" i="20" s="1"/>
  <c r="I70" i="20"/>
  <c r="J70" i="20" s="1"/>
  <c r="I44" i="20"/>
  <c r="I58" i="20"/>
  <c r="J58" i="20" s="1"/>
  <c r="I65" i="20"/>
  <c r="J65" i="20" s="1"/>
  <c r="I41" i="20"/>
  <c r="J41" i="20" s="1"/>
  <c r="I51" i="20"/>
  <c r="J51" i="20" s="1"/>
  <c r="I62" i="20"/>
  <c r="J62" i="20" s="1"/>
  <c r="I60" i="20"/>
  <c r="I42" i="20"/>
  <c r="I55" i="20"/>
  <c r="J55" i="20" s="1"/>
  <c r="I56" i="20"/>
  <c r="J56" i="20" s="1"/>
  <c r="I66" i="20"/>
  <c r="J66" i="20" s="1"/>
  <c r="I61" i="20"/>
  <c r="J61" i="20" s="1"/>
  <c r="I50" i="20"/>
  <c r="J50" i="20" s="1"/>
  <c r="I69" i="20"/>
  <c r="J69" i="20" s="1"/>
  <c r="I67" i="20"/>
  <c r="J67" i="20" s="1"/>
  <c r="I54" i="20"/>
  <c r="J54" i="20" s="1"/>
  <c r="I39" i="20"/>
  <c r="I39" i="14" s="1"/>
  <c r="I37" i="20"/>
  <c r="I37" i="14" s="1"/>
  <c r="I53" i="20"/>
  <c r="J53" i="20" s="1"/>
  <c r="I57" i="20"/>
  <c r="J57" i="20" s="1"/>
  <c r="U57" i="20" s="1"/>
  <c r="I40" i="20"/>
  <c r="I40" i="14" s="1"/>
  <c r="I38" i="20"/>
  <c r="I38" i="14" s="1"/>
  <c r="I46" i="20"/>
  <c r="J46" i="20" s="1"/>
  <c r="I64" i="20"/>
  <c r="J64" i="20" s="1"/>
  <c r="I45" i="20"/>
  <c r="I43" i="20"/>
  <c r="I52" i="21"/>
  <c r="J52" i="21" s="1"/>
  <c r="U52" i="21" s="1"/>
  <c r="AD52" i="21" s="1"/>
  <c r="AL52" i="21" s="1"/>
  <c r="I63" i="21"/>
  <c r="J63" i="21" s="1"/>
  <c r="U63" i="21" s="1"/>
  <c r="AD63" i="21" s="1"/>
  <c r="AL63" i="21" s="1"/>
  <c r="I69" i="21"/>
  <c r="J69" i="21" s="1"/>
  <c r="U69" i="21" s="1"/>
  <c r="AD69" i="21" s="1"/>
  <c r="AL69" i="21" s="1"/>
  <c r="I49" i="21"/>
  <c r="J49" i="21" s="1"/>
  <c r="U49" i="21" s="1"/>
  <c r="AD49" i="21" s="1"/>
  <c r="AL49" i="21" s="1"/>
  <c r="I51" i="21"/>
  <c r="J51" i="21" s="1"/>
  <c r="I57" i="21"/>
  <c r="J57" i="21" s="1"/>
  <c r="U57" i="21" s="1"/>
  <c r="AD57" i="21" s="1"/>
  <c r="AL57" i="21" s="1"/>
  <c r="I54" i="21"/>
  <c r="J54" i="21" s="1"/>
  <c r="U54" i="21" s="1"/>
  <c r="AD54" i="21" s="1"/>
  <c r="AL54" i="21" s="1"/>
  <c r="I50" i="21"/>
  <c r="J50" i="21" s="1"/>
  <c r="U50" i="21" s="1"/>
  <c r="AD50" i="21" s="1"/>
  <c r="AL50" i="21" s="1"/>
  <c r="I65" i="21"/>
  <c r="J65" i="21" s="1"/>
  <c r="U65" i="21" s="1"/>
  <c r="AD65" i="21" s="1"/>
  <c r="AL65" i="21" s="1"/>
  <c r="I70" i="21"/>
  <c r="I61" i="21"/>
  <c r="J61" i="21" s="1"/>
  <c r="U61" i="21" s="1"/>
  <c r="AD61" i="21" s="1"/>
  <c r="AL61" i="21" s="1"/>
  <c r="I47" i="21"/>
  <c r="J47" i="21" s="1"/>
  <c r="U47" i="21" s="1"/>
  <c r="AD47" i="21" s="1"/>
  <c r="AL47" i="21" s="1"/>
  <c r="I55" i="21"/>
  <c r="J55" i="21" s="1"/>
  <c r="U55" i="21" s="1"/>
  <c r="AD55" i="21" s="1"/>
  <c r="AL55" i="21" s="1"/>
  <c r="I62" i="21"/>
  <c r="J62" i="21" s="1"/>
  <c r="U62" i="21" s="1"/>
  <c r="AD62" i="21" s="1"/>
  <c r="AL62" i="21" s="1"/>
  <c r="I56" i="21"/>
  <c r="J56" i="21" s="1"/>
  <c r="U56" i="21" s="1"/>
  <c r="AD56" i="21" s="1"/>
  <c r="AL56" i="21" s="1"/>
  <c r="I67" i="21"/>
  <c r="J67" i="21" s="1"/>
  <c r="U67" i="21" s="1"/>
  <c r="AD67" i="21" s="1"/>
  <c r="AL67" i="21" s="1"/>
  <c r="I58" i="21"/>
  <c r="J58" i="21" s="1"/>
  <c r="U58" i="21" s="1"/>
  <c r="AD58" i="21" s="1"/>
  <c r="AL58" i="21" s="1"/>
  <c r="I59" i="21"/>
  <c r="J59" i="21" s="1"/>
  <c r="U59" i="21" s="1"/>
  <c r="AD59" i="21" s="1"/>
  <c r="AL59" i="21" s="1"/>
  <c r="I53" i="21"/>
  <c r="J53" i="21" s="1"/>
  <c r="U53" i="21" s="1"/>
  <c r="AD53" i="21" s="1"/>
  <c r="AL53" i="21" s="1"/>
  <c r="I48" i="21"/>
  <c r="J48" i="21" s="1"/>
  <c r="U48" i="21" s="1"/>
  <c r="AD48" i="21" s="1"/>
  <c r="AL48" i="21" s="1"/>
  <c r="I64" i="21"/>
  <c r="J64" i="21" s="1"/>
  <c r="U64" i="21" s="1"/>
  <c r="AD64" i="21" s="1"/>
  <c r="AL64" i="21" s="1"/>
  <c r="I68" i="21"/>
  <c r="J68" i="21" s="1"/>
  <c r="U68" i="21" s="1"/>
  <c r="AD68" i="21" s="1"/>
  <c r="AL68" i="21" s="1"/>
  <c r="I46" i="21"/>
  <c r="J46" i="21" s="1"/>
  <c r="U46" i="21" s="1"/>
  <c r="AD46" i="21" s="1"/>
  <c r="AL46" i="21" s="1"/>
  <c r="I66" i="21"/>
  <c r="J66" i="21" s="1"/>
  <c r="U66" i="21" s="1"/>
  <c r="AD66" i="21" s="1"/>
  <c r="AL66" i="21" s="1"/>
  <c r="I45" i="21"/>
  <c r="J45" i="21" s="1"/>
  <c r="AM11" i="21"/>
  <c r="I42" i="14" l="1"/>
  <c r="I44" i="14"/>
  <c r="I43" i="14"/>
  <c r="I60" i="14"/>
  <c r="I35" i="14"/>
  <c r="J35" i="20"/>
  <c r="I34" i="14"/>
  <c r="J34" i="20"/>
  <c r="I13" i="14"/>
  <c r="J13" i="20"/>
  <c r="I17" i="14"/>
  <c r="J17" i="20"/>
  <c r="I18" i="14"/>
  <c r="J18" i="20"/>
  <c r="I23" i="14"/>
  <c r="J23" i="20"/>
  <c r="I25" i="14"/>
  <c r="J25" i="20"/>
  <c r="I24" i="14"/>
  <c r="J24" i="20"/>
  <c r="I33" i="14"/>
  <c r="J33" i="20"/>
  <c r="I31" i="14"/>
  <c r="J31" i="20"/>
  <c r="I12" i="14"/>
  <c r="J12" i="20"/>
  <c r="I19" i="14"/>
  <c r="J19" i="20"/>
  <c r="I26" i="14"/>
  <c r="J26" i="20"/>
  <c r="I28" i="14"/>
  <c r="J28" i="20"/>
  <c r="I14" i="14"/>
  <c r="J14" i="20"/>
  <c r="I36" i="14"/>
  <c r="J36" i="20"/>
  <c r="I15" i="14"/>
  <c r="J15" i="20"/>
  <c r="I41" i="14"/>
  <c r="I32" i="14"/>
  <c r="J32" i="20"/>
  <c r="I29" i="14"/>
  <c r="J29" i="20"/>
  <c r="I16" i="14"/>
  <c r="J16" i="20"/>
  <c r="I30" i="14"/>
  <c r="J30" i="20"/>
  <c r="I20" i="14"/>
  <c r="J20" i="20"/>
  <c r="I21" i="14"/>
  <c r="J21" i="20"/>
  <c r="I22" i="14"/>
  <c r="J22" i="20"/>
  <c r="I27" i="14"/>
  <c r="J27" i="20"/>
  <c r="U45" i="21"/>
  <c r="AD45" i="21" s="1"/>
  <c r="BH44" i="26"/>
  <c r="BH58" i="26" s="1"/>
  <c r="AU45" i="26"/>
  <c r="I70" i="14"/>
  <c r="J60" i="20"/>
  <c r="U60" i="20" s="1"/>
  <c r="J44" i="20"/>
  <c r="U44" i="20" s="1"/>
  <c r="J42" i="20"/>
  <c r="J42" i="14" s="1"/>
  <c r="J39" i="20"/>
  <c r="U39" i="20" s="1"/>
  <c r="J40" i="20"/>
  <c r="U40" i="20" s="1"/>
  <c r="I52" i="14"/>
  <c r="U51" i="21"/>
  <c r="AD51" i="21" s="1"/>
  <c r="AL51" i="21" s="1"/>
  <c r="BU44" i="26"/>
  <c r="BT44" i="26"/>
  <c r="J37" i="20"/>
  <c r="I47" i="14"/>
  <c r="J43" i="20"/>
  <c r="U43" i="20" s="1"/>
  <c r="I58" i="14"/>
  <c r="I49" i="14"/>
  <c r="I63" i="14"/>
  <c r="I59" i="14"/>
  <c r="I64" i="14"/>
  <c r="I61" i="14"/>
  <c r="J70" i="21"/>
  <c r="U70" i="21" s="1"/>
  <c r="AD70" i="21" s="1"/>
  <c r="AL70" i="21" s="1"/>
  <c r="I71" i="20"/>
  <c r="J38" i="20"/>
  <c r="J38" i="14" s="1"/>
  <c r="J45" i="20"/>
  <c r="U45" i="20" s="1"/>
  <c r="I55" i="14"/>
  <c r="I62" i="14"/>
  <c r="I68" i="14"/>
  <c r="I51" i="14"/>
  <c r="I56" i="14"/>
  <c r="I46" i="14"/>
  <c r="I48" i="14"/>
  <c r="I66" i="14"/>
  <c r="I54" i="14"/>
  <c r="I57" i="14"/>
  <c r="I67" i="14"/>
  <c r="I69" i="14"/>
  <c r="I45" i="14"/>
  <c r="I65" i="14"/>
  <c r="I53" i="14"/>
  <c r="I50" i="14"/>
  <c r="I71" i="21"/>
  <c r="J57" i="14"/>
  <c r="U54" i="20"/>
  <c r="J54" i="14"/>
  <c r="U41" i="20"/>
  <c r="J41" i="14"/>
  <c r="U48" i="20"/>
  <c r="J48" i="14"/>
  <c r="U49" i="20"/>
  <c r="J49" i="14"/>
  <c r="U65" i="20"/>
  <c r="J65" i="14"/>
  <c r="U42" i="20"/>
  <c r="U68" i="20"/>
  <c r="J68" i="14"/>
  <c r="AD57" i="20"/>
  <c r="U57" i="14"/>
  <c r="U53" i="20"/>
  <c r="J53" i="14"/>
  <c r="U50" i="20"/>
  <c r="J50" i="14"/>
  <c r="U70" i="20"/>
  <c r="U59" i="20"/>
  <c r="J59" i="14"/>
  <c r="U63" i="20"/>
  <c r="J63" i="14"/>
  <c r="U56" i="20"/>
  <c r="J56" i="14"/>
  <c r="U67" i="20"/>
  <c r="J67" i="14"/>
  <c r="U46" i="20"/>
  <c r="J46" i="14"/>
  <c r="U61" i="20"/>
  <c r="J61" i="14"/>
  <c r="U64" i="20"/>
  <c r="J64" i="14"/>
  <c r="U66" i="20"/>
  <c r="J66" i="14"/>
  <c r="U47" i="20"/>
  <c r="J47" i="14"/>
  <c r="U58" i="20"/>
  <c r="J58" i="14"/>
  <c r="U52" i="20"/>
  <c r="J52" i="14"/>
  <c r="U62" i="20"/>
  <c r="J62" i="14"/>
  <c r="U69" i="20"/>
  <c r="J69" i="14"/>
  <c r="U51" i="20"/>
  <c r="J51" i="14"/>
  <c r="U55" i="20"/>
  <c r="J55" i="14"/>
  <c r="AM12" i="21"/>
  <c r="BT59" i="26" l="1"/>
  <c r="BT63" i="26" s="1"/>
  <c r="BN49" i="26" s="1"/>
  <c r="BU59" i="26"/>
  <c r="BU63" i="26" s="1"/>
  <c r="BO49" i="26" s="1"/>
  <c r="U36" i="20"/>
  <c r="J36" i="14"/>
  <c r="U19" i="20"/>
  <c r="J19" i="14"/>
  <c r="U24" i="20"/>
  <c r="J24" i="14"/>
  <c r="U17" i="20"/>
  <c r="J17" i="14"/>
  <c r="U29" i="20"/>
  <c r="J29" i="14"/>
  <c r="U20" i="20"/>
  <c r="J20" i="14"/>
  <c r="U32" i="20"/>
  <c r="J32" i="14"/>
  <c r="U14" i="20"/>
  <c r="J14" i="14"/>
  <c r="U28" i="20"/>
  <c r="J28" i="14"/>
  <c r="U31" i="20"/>
  <c r="J31" i="14"/>
  <c r="DB77" i="26" s="1"/>
  <c r="U23" i="20"/>
  <c r="J23" i="14"/>
  <c r="U34" i="20"/>
  <c r="J34" i="14"/>
  <c r="U12" i="20"/>
  <c r="J12" i="14"/>
  <c r="U27" i="20"/>
  <c r="J27" i="14"/>
  <c r="U30" i="20"/>
  <c r="J30" i="14"/>
  <c r="U13" i="20"/>
  <c r="J13" i="14"/>
  <c r="U15" i="20"/>
  <c r="J15" i="14"/>
  <c r="U26" i="20"/>
  <c r="J26" i="14"/>
  <c r="DA77" i="26" s="1"/>
  <c r="U33" i="20"/>
  <c r="J33" i="14"/>
  <c r="U18" i="20"/>
  <c r="J18" i="14"/>
  <c r="U35" i="20"/>
  <c r="J35" i="14"/>
  <c r="U21" i="20"/>
  <c r="J21" i="14"/>
  <c r="CZ77" i="26" s="1"/>
  <c r="U25" i="20"/>
  <c r="J25" i="14"/>
  <c r="U22" i="20"/>
  <c r="J22" i="14"/>
  <c r="U16" i="20"/>
  <c r="J16" i="14"/>
  <c r="CY77" i="26" s="1"/>
  <c r="J60" i="14"/>
  <c r="J71" i="21"/>
  <c r="U37" i="20"/>
  <c r="AD37" i="20" s="1"/>
  <c r="BG44" i="26"/>
  <c r="AU44" i="26"/>
  <c r="AU53" i="26" s="1"/>
  <c r="J39" i="14"/>
  <c r="J44" i="14"/>
  <c r="J43" i="14"/>
  <c r="J40" i="14"/>
  <c r="BT58" i="26"/>
  <c r="BN44" i="26"/>
  <c r="BU58" i="26"/>
  <c r="BO44" i="26"/>
  <c r="BO48" i="26" s="1"/>
  <c r="J37" i="14"/>
  <c r="J45" i="14"/>
  <c r="U71" i="21"/>
  <c r="J71" i="20"/>
  <c r="U38" i="20"/>
  <c r="AD38" i="20" s="1"/>
  <c r="J70" i="14"/>
  <c r="I71" i="14"/>
  <c r="AD58" i="20"/>
  <c r="U58" i="14"/>
  <c r="AD47" i="20"/>
  <c r="U47" i="14"/>
  <c r="AD61" i="20"/>
  <c r="U61" i="14"/>
  <c r="AD44" i="20"/>
  <c r="U44" i="14"/>
  <c r="AD59" i="20"/>
  <c r="U59" i="14"/>
  <c r="AL57" i="20"/>
  <c r="AD57" i="14"/>
  <c r="AD49" i="20"/>
  <c r="U49" i="14"/>
  <c r="AD69" i="20"/>
  <c r="U69" i="14"/>
  <c r="AD62" i="20"/>
  <c r="U62" i="14"/>
  <c r="AD45" i="20"/>
  <c r="U45" i="14"/>
  <c r="AD46" i="20"/>
  <c r="U46" i="14"/>
  <c r="AD67" i="20"/>
  <c r="U67" i="14"/>
  <c r="AD70" i="20"/>
  <c r="U70" i="14"/>
  <c r="AD68" i="20"/>
  <c r="U68" i="14"/>
  <c r="AD48" i="20"/>
  <c r="U48" i="14"/>
  <c r="AD71" i="21"/>
  <c r="AL45" i="21"/>
  <c r="AD55" i="20"/>
  <c r="U55" i="14"/>
  <c r="AD43" i="20"/>
  <c r="U43" i="14"/>
  <c r="AD66" i="20"/>
  <c r="U66" i="14"/>
  <c r="AD60" i="20"/>
  <c r="U60" i="14"/>
  <c r="AD56" i="20"/>
  <c r="U56" i="14"/>
  <c r="AD50" i="20"/>
  <c r="U50" i="14"/>
  <c r="AD42" i="20"/>
  <c r="U42" i="14"/>
  <c r="AD41" i="20"/>
  <c r="U41" i="14"/>
  <c r="AD51" i="20"/>
  <c r="U51" i="14"/>
  <c r="AD52" i="20"/>
  <c r="U52" i="14"/>
  <c r="AD39" i="20"/>
  <c r="U39" i="14"/>
  <c r="AD64" i="20"/>
  <c r="U64" i="14"/>
  <c r="AD40" i="20"/>
  <c r="U40" i="14"/>
  <c r="AD63" i="20"/>
  <c r="U63" i="14"/>
  <c r="AD53" i="20"/>
  <c r="U53" i="14"/>
  <c r="AD65" i="20"/>
  <c r="U65" i="14"/>
  <c r="AD54" i="20"/>
  <c r="U54" i="14"/>
  <c r="AM13" i="21"/>
  <c r="DA91" i="26" l="1"/>
  <c r="DK77" i="26"/>
  <c r="DB91" i="26"/>
  <c r="DL77" i="26"/>
  <c r="CZ91" i="26"/>
  <c r="DJ77" i="26"/>
  <c r="CY91" i="26"/>
  <c r="DI77" i="26"/>
  <c r="BU64" i="26"/>
  <c r="BT64" i="26"/>
  <c r="BM49" i="26"/>
  <c r="BM63" i="26" s="1"/>
  <c r="AD13" i="20"/>
  <c r="U13" i="14"/>
  <c r="AD25" i="20"/>
  <c r="U25" i="14"/>
  <c r="AD33" i="20"/>
  <c r="U33" i="14"/>
  <c r="AD30" i="20"/>
  <c r="U30" i="14"/>
  <c r="AD23" i="20"/>
  <c r="U23" i="14"/>
  <c r="AD32" i="20"/>
  <c r="U32" i="14"/>
  <c r="AD24" i="20"/>
  <c r="U24" i="14"/>
  <c r="AD22" i="20"/>
  <c r="U22" i="14"/>
  <c r="AD18" i="20"/>
  <c r="U18" i="14"/>
  <c r="AD17" i="20"/>
  <c r="U17" i="14"/>
  <c r="AD21" i="20"/>
  <c r="U21" i="14"/>
  <c r="AD26" i="20"/>
  <c r="U26" i="14"/>
  <c r="AD27" i="20"/>
  <c r="U27" i="14"/>
  <c r="AD31" i="20"/>
  <c r="U31" i="14"/>
  <c r="AD20" i="20"/>
  <c r="U20" i="14"/>
  <c r="AD19" i="20"/>
  <c r="U19" i="14"/>
  <c r="AD14" i="20"/>
  <c r="U14" i="14"/>
  <c r="AD34" i="20"/>
  <c r="U34" i="14"/>
  <c r="AD16" i="20"/>
  <c r="U16" i="14"/>
  <c r="AD35" i="20"/>
  <c r="U35" i="14"/>
  <c r="AD15" i="20"/>
  <c r="U15" i="14"/>
  <c r="AD12" i="20"/>
  <c r="AD28" i="20"/>
  <c r="U28" i="14"/>
  <c r="AD29" i="20"/>
  <c r="U29" i="14"/>
  <c r="AD36" i="20"/>
  <c r="U36" i="14"/>
  <c r="AL71" i="21"/>
  <c r="AY45" i="26"/>
  <c r="U37" i="14"/>
  <c r="BG58" i="26"/>
  <c r="BI58" i="26" s="1"/>
  <c r="BI44" i="26"/>
  <c r="BG61" i="26" s="1"/>
  <c r="BO50" i="26"/>
  <c r="BM44" i="26"/>
  <c r="BM58" i="26" s="1"/>
  <c r="BN48" i="26"/>
  <c r="BN50" i="26" s="1"/>
  <c r="J71" i="14"/>
  <c r="U71" i="20"/>
  <c r="U38" i="14"/>
  <c r="AL48" i="20"/>
  <c r="AD48" i="14"/>
  <c r="AL46" i="20"/>
  <c r="AD46" i="14"/>
  <c r="AL69" i="20"/>
  <c r="AD69" i="14"/>
  <c r="AL44" i="20"/>
  <c r="AD44" i="14"/>
  <c r="AL68" i="20"/>
  <c r="AD68" i="14"/>
  <c r="AL40" i="20"/>
  <c r="AD40" i="14"/>
  <c r="AL37" i="20"/>
  <c r="AD37" i="14"/>
  <c r="AL38" i="20"/>
  <c r="AD38" i="14"/>
  <c r="AL65" i="20"/>
  <c r="AD65" i="14"/>
  <c r="AL64" i="20"/>
  <c r="AD64" i="14"/>
  <c r="AL41" i="20"/>
  <c r="AD41" i="14"/>
  <c r="AL60" i="20"/>
  <c r="AD60" i="14"/>
  <c r="AL49" i="20"/>
  <c r="AD49" i="14"/>
  <c r="AL61" i="20"/>
  <c r="AD61" i="14"/>
  <c r="AL51" i="20"/>
  <c r="AD51" i="14"/>
  <c r="AL55" i="20"/>
  <c r="AD55" i="14"/>
  <c r="AL70" i="20"/>
  <c r="AD70" i="14"/>
  <c r="AL45" i="20"/>
  <c r="AD45" i="14"/>
  <c r="AL53" i="20"/>
  <c r="AD53" i="14"/>
  <c r="AL39" i="20"/>
  <c r="AD39" i="14"/>
  <c r="AL42" i="20"/>
  <c r="AD42" i="14"/>
  <c r="AL66" i="20"/>
  <c r="AD66" i="14"/>
  <c r="AL57" i="14"/>
  <c r="AL47" i="20"/>
  <c r="AD47" i="14"/>
  <c r="AL67" i="20"/>
  <c r="AD67" i="14"/>
  <c r="AL62" i="20"/>
  <c r="AD62" i="14"/>
  <c r="AL54" i="20"/>
  <c r="AD54" i="14"/>
  <c r="AL56" i="20"/>
  <c r="AD56" i="14"/>
  <c r="AL63" i="20"/>
  <c r="AD63" i="14"/>
  <c r="AL52" i="20"/>
  <c r="AD52" i="14"/>
  <c r="AL50" i="20"/>
  <c r="AD50" i="14"/>
  <c r="AL43" i="20"/>
  <c r="AD43" i="14"/>
  <c r="AL59" i="20"/>
  <c r="AD59" i="14"/>
  <c r="AL58" i="20"/>
  <c r="AD58" i="14"/>
  <c r="AM14" i="21"/>
  <c r="CY95" i="26" l="1"/>
  <c r="DI91" i="26"/>
  <c r="CZ95" i="26"/>
  <c r="DJ91" i="26"/>
  <c r="DB95" i="26"/>
  <c r="DL91" i="26"/>
  <c r="DA95" i="26"/>
  <c r="DK91" i="26"/>
  <c r="AL35" i="20"/>
  <c r="AD35" i="14"/>
  <c r="AL19" i="20"/>
  <c r="AD19" i="14"/>
  <c r="AL26" i="20"/>
  <c r="AD26" i="14"/>
  <c r="AL30" i="20"/>
  <c r="AD30" i="14"/>
  <c r="AL28" i="20"/>
  <c r="AD28" i="14"/>
  <c r="AL16" i="20"/>
  <c r="AD16" i="14"/>
  <c r="AL20" i="20"/>
  <c r="AD20" i="14"/>
  <c r="AL21" i="20"/>
  <c r="AD21" i="14"/>
  <c r="AL24" i="20"/>
  <c r="AD24" i="14"/>
  <c r="AL33" i="20"/>
  <c r="AD33" i="14"/>
  <c r="AL12" i="20"/>
  <c r="AL34" i="20"/>
  <c r="AD34" i="14"/>
  <c r="AL31" i="20"/>
  <c r="AD31" i="14"/>
  <c r="AL17" i="20"/>
  <c r="AD17" i="14"/>
  <c r="AL32" i="20"/>
  <c r="AD32" i="14"/>
  <c r="AL25" i="20"/>
  <c r="AD25" i="14"/>
  <c r="AD71" i="20"/>
  <c r="AL29" i="20"/>
  <c r="AD29" i="14"/>
  <c r="AL22" i="20"/>
  <c r="AD22" i="14"/>
  <c r="AL36" i="20"/>
  <c r="AD36" i="14"/>
  <c r="AL15" i="20"/>
  <c r="AD15" i="14"/>
  <c r="AL14" i="20"/>
  <c r="AD14" i="14"/>
  <c r="AL27" i="20"/>
  <c r="AD27" i="14"/>
  <c r="AL18" i="20"/>
  <c r="AD18" i="14"/>
  <c r="AL23" i="20"/>
  <c r="AD23" i="14"/>
  <c r="AL13" i="20"/>
  <c r="AD13" i="14"/>
  <c r="BG60" i="26"/>
  <c r="BG62" i="26"/>
  <c r="BH61" i="26"/>
  <c r="BH62" i="26"/>
  <c r="BH60" i="26"/>
  <c r="BM48" i="26"/>
  <c r="AL43" i="14"/>
  <c r="AL56" i="14"/>
  <c r="AL47" i="14"/>
  <c r="AL39" i="14"/>
  <c r="AL55" i="14"/>
  <c r="AL60" i="14"/>
  <c r="AL38" i="14"/>
  <c r="AL44" i="14"/>
  <c r="AL50" i="14"/>
  <c r="AL53" i="14"/>
  <c r="AL51" i="14"/>
  <c r="AL41" i="14"/>
  <c r="AL37" i="14"/>
  <c r="AL69" i="14"/>
  <c r="AL58" i="14"/>
  <c r="AL52" i="14"/>
  <c r="AL62" i="14"/>
  <c r="AL66" i="14"/>
  <c r="AL45" i="14"/>
  <c r="AL61" i="14"/>
  <c r="AL64" i="14"/>
  <c r="AL54" i="14"/>
  <c r="AL40" i="14"/>
  <c r="AL46" i="14"/>
  <c r="AL59" i="14"/>
  <c r="AL63" i="14"/>
  <c r="AL67" i="14"/>
  <c r="AL42" i="14"/>
  <c r="AL70" i="14"/>
  <c r="AL49" i="14"/>
  <c r="AL65" i="14"/>
  <c r="AL68" i="14"/>
  <c r="AL48" i="14"/>
  <c r="AM15" i="21"/>
  <c r="DA100" i="26" l="1"/>
  <c r="DK100" i="26" s="1"/>
  <c r="DK95" i="26"/>
  <c r="DB100" i="26"/>
  <c r="DL100" i="26" s="1"/>
  <c r="DL95" i="26"/>
  <c r="CZ100" i="26"/>
  <c r="DJ100" i="26" s="1"/>
  <c r="DJ95" i="26"/>
  <c r="CY100" i="26"/>
  <c r="DI100" i="26" s="1"/>
  <c r="DI95" i="26"/>
  <c r="AY44" i="26"/>
  <c r="AL23" i="14"/>
  <c r="AL15" i="14"/>
  <c r="AL18" i="14"/>
  <c r="AL36" i="14"/>
  <c r="AL71" i="20"/>
  <c r="AL32" i="14"/>
  <c r="AM12" i="20"/>
  <c r="AL20" i="14"/>
  <c r="AL26" i="14"/>
  <c r="AL34" i="14"/>
  <c r="AL27" i="14"/>
  <c r="AL22" i="14"/>
  <c r="AL25" i="14"/>
  <c r="AL17" i="14"/>
  <c r="AL33" i="14"/>
  <c r="AL16" i="14"/>
  <c r="AL19" i="14"/>
  <c r="AL30" i="14"/>
  <c r="AL13" i="14"/>
  <c r="AL14" i="14"/>
  <c r="AL29" i="14"/>
  <c r="AL21" i="14"/>
  <c r="AL31" i="14"/>
  <c r="AL24" i="14"/>
  <c r="AL28" i="14"/>
  <c r="AL35" i="14"/>
  <c r="BM50" i="26"/>
  <c r="BM62" i="26"/>
  <c r="AM16" i="21"/>
  <c r="AM13" i="20" l="1"/>
  <c r="BM53" i="26"/>
  <c r="BM67" i="26" s="1"/>
  <c r="BM64" i="26"/>
  <c r="AM17" i="21"/>
  <c r="AM14" i="20" l="1"/>
  <c r="AM18" i="21"/>
  <c r="AM15" i="20" l="1"/>
  <c r="AM19" i="21"/>
  <c r="AM16" i="20" l="1"/>
  <c r="AM20" i="21"/>
  <c r="AM17" i="20" l="1"/>
  <c r="AM21" i="21"/>
  <c r="AM18" i="20" l="1"/>
  <c r="AM22" i="21"/>
  <c r="AM19" i="20" l="1"/>
  <c r="AM23" i="21"/>
  <c r="AM20" i="20" l="1"/>
  <c r="AM24" i="21"/>
  <c r="AM21" i="20" l="1"/>
  <c r="AM25" i="21"/>
  <c r="AM22" i="20" l="1"/>
  <c r="AM26" i="21"/>
  <c r="AM23" i="20" l="1"/>
  <c r="AM27" i="21"/>
  <c r="AM24" i="20" l="1"/>
  <c r="AM28" i="21"/>
  <c r="AM25" i="20" l="1"/>
  <c r="AM29" i="21"/>
  <c r="AM26" i="20" l="1"/>
  <c r="AM30" i="21"/>
  <c r="AM27" i="20" l="1"/>
  <c r="AM31" i="21"/>
  <c r="AM28" i="20" l="1"/>
  <c r="AM32" i="21"/>
  <c r="AM29" i="20" l="1"/>
  <c r="AM33" i="21"/>
  <c r="AM30" i="20" l="1"/>
  <c r="AM34" i="21"/>
  <c r="AM31" i="20" l="1"/>
  <c r="AM35" i="21"/>
  <c r="AM32" i="20" l="1"/>
  <c r="AM36" i="21"/>
  <c r="AM33" i="20" l="1"/>
  <c r="AM37" i="21"/>
  <c r="AM34" i="20" l="1"/>
  <c r="AM38" i="21"/>
  <c r="AM35" i="20" l="1"/>
  <c r="AM39" i="21"/>
  <c r="AM36" i="20" l="1"/>
  <c r="AM40" i="21"/>
  <c r="AM37" i="20" l="1"/>
  <c r="AM41" i="21"/>
  <c r="AM38" i="20" l="1"/>
  <c r="AM42" i="21"/>
  <c r="AM39" i="20" l="1"/>
  <c r="AM43" i="21"/>
  <c r="AM40" i="20" l="1"/>
  <c r="AM44" i="21"/>
  <c r="AM41" i="20" l="1"/>
  <c r="AM45" i="21"/>
  <c r="AM42" i="20" l="1"/>
  <c r="AM46" i="21"/>
  <c r="AM43" i="20" l="1"/>
  <c r="AM47" i="21"/>
  <c r="AM44" i="20" l="1"/>
  <c r="AM48" i="21"/>
  <c r="AM45" i="20" l="1"/>
  <c r="AM49" i="21"/>
  <c r="AM46" i="20" l="1"/>
  <c r="AM50" i="21"/>
  <c r="AM47" i="20" l="1"/>
  <c r="AM51" i="21"/>
  <c r="AM48" i="20" l="1"/>
  <c r="AM52" i="21"/>
  <c r="AM49" i="20" l="1"/>
  <c r="AM53" i="21"/>
  <c r="AM50" i="20" l="1"/>
  <c r="AM54" i="21"/>
  <c r="AM51" i="20" l="1"/>
  <c r="AM55" i="21"/>
  <c r="AM52" i="20" l="1"/>
  <c r="AM56" i="21"/>
  <c r="AM53" i="20" l="1"/>
  <c r="AM57" i="21"/>
  <c r="AM54" i="20" l="1"/>
  <c r="AM58" i="21"/>
  <c r="AM55" i="20" l="1"/>
  <c r="AM59" i="21"/>
  <c r="AM56" i="20" l="1"/>
  <c r="AM60" i="21"/>
  <c r="AM57" i="20" l="1"/>
  <c r="AM61" i="21"/>
  <c r="AM58" i="20" l="1"/>
  <c r="AM62" i="21"/>
  <c r="AM59" i="20" l="1"/>
  <c r="AM63" i="21"/>
  <c r="AM60" i="20" l="1"/>
  <c r="AM64" i="21"/>
  <c r="AM61" i="20" l="1"/>
  <c r="AM65" i="21"/>
  <c r="AM62" i="20" l="1"/>
  <c r="AM66" i="21"/>
  <c r="AM63" i="20" l="1"/>
  <c r="AM67" i="21"/>
  <c r="AM64" i="20" l="1"/>
  <c r="AM68" i="21"/>
  <c r="AM65" i="20" l="1"/>
  <c r="AM69" i="21"/>
  <c r="AM66" i="20" l="1"/>
  <c r="AM70" i="21"/>
  <c r="AM67" i="20" l="1"/>
  <c r="AM68" i="20" l="1"/>
  <c r="AH15" i="26"/>
  <c r="AG15" i="26"/>
  <c r="AF15" i="26"/>
  <c r="AD15" i="26"/>
  <c r="AM69" i="20" l="1"/>
  <c r="AE15" i="26"/>
  <c r="AM70" i="20" l="1"/>
  <c r="K7" i="35" l="1"/>
  <c r="T7" i="35" s="1"/>
  <c r="X12" i="26"/>
  <c r="K6" i="35"/>
  <c r="T6" i="35" s="1"/>
  <c r="T7" i="14" l="1"/>
  <c r="AV7" i="14" s="1"/>
  <c r="AX7" i="14" s="1"/>
  <c r="U7" i="35"/>
  <c r="U6" i="35"/>
  <c r="T6" i="14"/>
  <c r="K7" i="14"/>
  <c r="K6" i="14"/>
  <c r="CW92" i="26" l="1"/>
  <c r="DG92" i="26" s="1"/>
  <c r="AD6" i="35"/>
  <c r="U6" i="14"/>
  <c r="U7" i="14"/>
  <c r="AD7" i="35"/>
  <c r="AV6" i="14"/>
  <c r="AX6" i="14" s="1"/>
  <c r="CW94" i="26" l="1"/>
  <c r="DG94" i="26" s="1"/>
  <c r="AL6" i="35"/>
  <c r="AD6" i="14"/>
  <c r="AL7" i="35"/>
  <c r="AD7" i="14"/>
  <c r="AL7" i="14" l="1"/>
  <c r="AL6" i="14"/>
  <c r="AM6" i="35"/>
  <c r="AM6" i="14" s="1"/>
  <c r="AN6" i="14" l="1"/>
  <c r="AO6" i="14"/>
  <c r="AO7" i="14" s="1"/>
  <c r="AM7" i="35"/>
  <c r="AM7" i="14" s="1"/>
  <c r="AP6" i="14" l="1"/>
  <c r="AQ6" i="14" s="1"/>
  <c r="AN7" i="14"/>
  <c r="AP7" i="14" l="1"/>
  <c r="AQ7" i="14" s="1"/>
  <c r="X13" i="26"/>
  <c r="K8" i="35"/>
  <c r="T8" i="35" l="1"/>
  <c r="K8" i="14"/>
  <c r="T8" i="14" l="1"/>
  <c r="U8" i="35"/>
  <c r="AV8" i="14" l="1"/>
  <c r="AX8" i="14" s="1"/>
  <c r="U8" i="14"/>
  <c r="AD8" i="35"/>
  <c r="AD8" i="14" l="1"/>
  <c r="AL8" i="35"/>
  <c r="AL8" i="14" l="1"/>
  <c r="AM8" i="35"/>
  <c r="AM8" i="14" s="1"/>
  <c r="AN8" i="14" l="1"/>
  <c r="AO8" i="14"/>
  <c r="AP8" i="14" l="1"/>
  <c r="AQ8" i="14" s="1"/>
  <c r="K10" i="35"/>
  <c r="K10" i="14" s="1"/>
  <c r="K11" i="35"/>
  <c r="K11" i="14" s="1"/>
  <c r="CX92" i="26" s="1"/>
  <c r="K9" i="35"/>
  <c r="K9" i="14" s="1"/>
  <c r="X14" i="26"/>
  <c r="K12" i="35"/>
  <c r="K12" i="14" s="1"/>
  <c r="AS12" i="14" s="1"/>
  <c r="CX94" i="26" l="1"/>
  <c r="DH92" i="26"/>
  <c r="T9" i="35"/>
  <c r="U9" i="35" s="1"/>
  <c r="AS11" i="14"/>
  <c r="AS9" i="14"/>
  <c r="BI59" i="26"/>
  <c r="BG78" i="26" s="1"/>
  <c r="BG86" i="26" s="1"/>
  <c r="CH44" i="26"/>
  <c r="CH47" i="26" s="1"/>
  <c r="CH52" i="26" s="1"/>
  <c r="AS7" i="14"/>
  <c r="AT7" i="14" s="1"/>
  <c r="K71" i="14"/>
  <c r="AS6" i="14"/>
  <c r="AT6" i="14" s="1"/>
  <c r="AS8" i="14"/>
  <c r="AT8" i="14" s="1"/>
  <c r="AS10" i="14"/>
  <c r="T12" i="35"/>
  <c r="T11" i="35"/>
  <c r="K71" i="35"/>
  <c r="BI67" i="26" s="1"/>
  <c r="T10" i="35"/>
  <c r="AV50" i="26" s="1"/>
  <c r="AV53" i="26" s="1"/>
  <c r="CX95" i="26" l="1"/>
  <c r="DH94" i="26"/>
  <c r="T9" i="14"/>
  <c r="AV9" i="14" s="1"/>
  <c r="AX9" i="14" s="1"/>
  <c r="BG59" i="26"/>
  <c r="BG63" i="26" s="1"/>
  <c r="BG64" i="26" s="1"/>
  <c r="BH59" i="26"/>
  <c r="BH63" i="26" s="1"/>
  <c r="BH64" i="26" s="1"/>
  <c r="BI63" i="26"/>
  <c r="T11" i="14"/>
  <c r="AV11" i="14" s="1"/>
  <c r="AX11" i="14" s="1"/>
  <c r="U11" i="35"/>
  <c r="U12" i="35"/>
  <c r="T12" i="14"/>
  <c r="AV12" i="14" s="1"/>
  <c r="AX12" i="14" s="1"/>
  <c r="BG67" i="26"/>
  <c r="BH67" i="26"/>
  <c r="T10" i="14"/>
  <c r="AV10" i="14" s="1"/>
  <c r="AX10" i="14" s="1"/>
  <c r="U10" i="35"/>
  <c r="U9" i="14"/>
  <c r="AD9" i="35"/>
  <c r="T71" i="35"/>
  <c r="BI64" i="26" l="1"/>
  <c r="BI68" i="26" s="1"/>
  <c r="BG88" i="26"/>
  <c r="CX100" i="26"/>
  <c r="DH100" i="26" s="1"/>
  <c r="DH95" i="26"/>
  <c r="AD9" i="14"/>
  <c r="AL9" i="35"/>
  <c r="AD12" i="35"/>
  <c r="U12" i="14"/>
  <c r="U11" i="14"/>
  <c r="AD11" i="35"/>
  <c r="U71" i="35"/>
  <c r="U10" i="14"/>
  <c r="AD10" i="35"/>
  <c r="T71" i="14"/>
  <c r="AV71" i="14" s="1"/>
  <c r="BH68" i="26"/>
  <c r="BG68" i="26"/>
  <c r="U71" i="14" l="1"/>
  <c r="AD11" i="14"/>
  <c r="AL11" i="35"/>
  <c r="AL9" i="14"/>
  <c r="AM9" i="35"/>
  <c r="AM9" i="14" s="1"/>
  <c r="AT9" i="14" s="1"/>
  <c r="AL12" i="35"/>
  <c r="AD12" i="14"/>
  <c r="AL10" i="35"/>
  <c r="AD10" i="14"/>
  <c r="AD71" i="35"/>
  <c r="AY50" i="26" l="1"/>
  <c r="AY53" i="26" s="1"/>
  <c r="AD71" i="14"/>
  <c r="AL12" i="14"/>
  <c r="AL71" i="35"/>
  <c r="AL11" i="14"/>
  <c r="AN9" i="14"/>
  <c r="AO9" i="14"/>
  <c r="AL10" i="14"/>
  <c r="AM10" i="35"/>
  <c r="AM10" i="14" s="1"/>
  <c r="AT10" i="14" s="1"/>
  <c r="AL71" i="14" l="1"/>
  <c r="AM11" i="35"/>
  <c r="AM11" i="14" s="1"/>
  <c r="AT11" i="14" s="1"/>
  <c r="AO10" i="14"/>
  <c r="AO11" i="14" s="1"/>
  <c r="AO12" i="14" s="1"/>
  <c r="AO13" i="14" s="1"/>
  <c r="AO14" i="14" s="1"/>
  <c r="AO15" i="14" s="1"/>
  <c r="AO16" i="14" s="1"/>
  <c r="AO17" i="14" s="1"/>
  <c r="AO18" i="14" s="1"/>
  <c r="AO19" i="14" s="1"/>
  <c r="AO20" i="14" s="1"/>
  <c r="AO21" i="14" s="1"/>
  <c r="AO22" i="14" s="1"/>
  <c r="AO23" i="14" s="1"/>
  <c r="AO24" i="14" s="1"/>
  <c r="AO25" i="14" s="1"/>
  <c r="AO26" i="14" s="1"/>
  <c r="AO27" i="14" s="1"/>
  <c r="AO28" i="14" s="1"/>
  <c r="AO29" i="14" s="1"/>
  <c r="AO30" i="14" s="1"/>
  <c r="AO31" i="14" s="1"/>
  <c r="AO32" i="14" s="1"/>
  <c r="AO33" i="14" s="1"/>
  <c r="AO34" i="14" s="1"/>
  <c r="AO35" i="14" s="1"/>
  <c r="AO36" i="14" s="1"/>
  <c r="AO37" i="14" s="1"/>
  <c r="AO38" i="14" s="1"/>
  <c r="AO39" i="14" s="1"/>
  <c r="AO40" i="14" s="1"/>
  <c r="AO41" i="14" s="1"/>
  <c r="AO42" i="14" s="1"/>
  <c r="AO43" i="14" s="1"/>
  <c r="AO44" i="14" s="1"/>
  <c r="AO45" i="14" s="1"/>
  <c r="AO46" i="14" s="1"/>
  <c r="AO47" i="14" s="1"/>
  <c r="AO48" i="14" s="1"/>
  <c r="AO49" i="14" s="1"/>
  <c r="AO50" i="14" s="1"/>
  <c r="AO51" i="14" s="1"/>
  <c r="AO52" i="14" s="1"/>
  <c r="AO53" i="14" s="1"/>
  <c r="AO54" i="14" s="1"/>
  <c r="AO55" i="14" s="1"/>
  <c r="AO56" i="14" s="1"/>
  <c r="AO57" i="14" s="1"/>
  <c r="AO58" i="14" s="1"/>
  <c r="AO59" i="14" s="1"/>
  <c r="AO60" i="14" s="1"/>
  <c r="AO61" i="14" s="1"/>
  <c r="AO62" i="14" s="1"/>
  <c r="AO63" i="14" s="1"/>
  <c r="AO64" i="14" s="1"/>
  <c r="AO65" i="14" s="1"/>
  <c r="AO66" i="14" s="1"/>
  <c r="AO67" i="14" s="1"/>
  <c r="AO68" i="14" s="1"/>
  <c r="AO69" i="14" s="1"/>
  <c r="AO70" i="14" s="1"/>
  <c r="AP9" i="14"/>
  <c r="AQ9" i="14" s="1"/>
  <c r="AN10" i="14"/>
  <c r="AM12" i="35" l="1"/>
  <c r="AM13" i="35" s="1"/>
  <c r="AP10" i="14"/>
  <c r="AQ10" i="14" s="1"/>
  <c r="AN11" i="14"/>
  <c r="AM12" i="14" l="1"/>
  <c r="AT12" i="14" s="1"/>
  <c r="AM14" i="35"/>
  <c r="AM13" i="14"/>
  <c r="AT13" i="14" s="1"/>
  <c r="AP11" i="14"/>
  <c r="AQ11" i="14" s="1"/>
  <c r="AN12" i="14"/>
  <c r="AP12" i="14" l="1"/>
  <c r="AQ12" i="14" s="1"/>
  <c r="AN13" i="14"/>
  <c r="AM15" i="35"/>
  <c r="AM14" i="14"/>
  <c r="AT14" i="14" s="1"/>
  <c r="AM15" i="14" l="1"/>
  <c r="AT15" i="14" s="1"/>
  <c r="AM16" i="35"/>
  <c r="AP13" i="14"/>
  <c r="AQ13" i="14" s="1"/>
  <c r="AN14" i="14"/>
  <c r="AP14" i="14" l="1"/>
  <c r="AQ14" i="14" s="1"/>
  <c r="AN15" i="14"/>
  <c r="AM17" i="35"/>
  <c r="AM16" i="14"/>
  <c r="AT16" i="14" s="1"/>
  <c r="AM18" i="35" l="1"/>
  <c r="AM17" i="14"/>
  <c r="AT17" i="14" s="1"/>
  <c r="AN16" i="14"/>
  <c r="AP15" i="14"/>
  <c r="AQ15" i="14" s="1"/>
  <c r="AN17" i="14" l="1"/>
  <c r="AP16" i="14"/>
  <c r="AQ16" i="14" s="1"/>
  <c r="AM18" i="14"/>
  <c r="AT18" i="14" s="1"/>
  <c r="AM19" i="35"/>
  <c r="AM20" i="35" l="1"/>
  <c r="AM19" i="14"/>
  <c r="AT19" i="14" s="1"/>
  <c r="AN18" i="14"/>
  <c r="AP17" i="14"/>
  <c r="AQ17" i="14" s="1"/>
  <c r="AN19" i="14" l="1"/>
  <c r="AP18" i="14"/>
  <c r="AQ18" i="14" s="1"/>
  <c r="AM21" i="35"/>
  <c r="AM20" i="14"/>
  <c r="AT20" i="14" s="1"/>
  <c r="AM21" i="14" l="1"/>
  <c r="AT21" i="14" s="1"/>
  <c r="AM22" i="35"/>
  <c r="AP19" i="14"/>
  <c r="AQ19" i="14" s="1"/>
  <c r="AN20" i="14"/>
  <c r="AP20" i="14" l="1"/>
  <c r="AQ20" i="14" s="1"/>
  <c r="AN21" i="14"/>
  <c r="AM22" i="14"/>
  <c r="AT22" i="14" s="1"/>
  <c r="AM23" i="35"/>
  <c r="AM23" i="14" l="1"/>
  <c r="AT23" i="14" s="1"/>
  <c r="AM24" i="35"/>
  <c r="AP21" i="14"/>
  <c r="AQ21" i="14" s="1"/>
  <c r="AN22" i="14"/>
  <c r="AP22" i="14" l="1"/>
  <c r="AQ22" i="14" s="1"/>
  <c r="AN23" i="14"/>
  <c r="AM25" i="35"/>
  <c r="AM24" i="14"/>
  <c r="AT24" i="14" s="1"/>
  <c r="AM26" i="35" l="1"/>
  <c r="AM25" i="14"/>
  <c r="AT25" i="14" s="1"/>
  <c r="AN24" i="14"/>
  <c r="AP23" i="14"/>
  <c r="AQ23" i="14" s="1"/>
  <c r="AP24" i="14" l="1"/>
  <c r="AQ24" i="14" s="1"/>
  <c r="AN25" i="14"/>
  <c r="AM27" i="35"/>
  <c r="AM26" i="14"/>
  <c r="AT26" i="14" s="1"/>
  <c r="AM28" i="35" l="1"/>
  <c r="AM27" i="14"/>
  <c r="AT27" i="14" s="1"/>
  <c r="AN26" i="14"/>
  <c r="AP25" i="14"/>
  <c r="AQ25" i="14" s="1"/>
  <c r="AN27" i="14" l="1"/>
  <c r="AP26" i="14"/>
  <c r="AQ26" i="14" s="1"/>
  <c r="AM28" i="14"/>
  <c r="AT28" i="14" s="1"/>
  <c r="AM29" i="35"/>
  <c r="AM29" i="14" l="1"/>
  <c r="AT29" i="14" s="1"/>
  <c r="AM30" i="35"/>
  <c r="AP27" i="14"/>
  <c r="AQ27" i="14" s="1"/>
  <c r="AN28" i="14"/>
  <c r="AP28" i="14" l="1"/>
  <c r="AQ28" i="14" s="1"/>
  <c r="AN29" i="14"/>
  <c r="AM30" i="14"/>
  <c r="AT30" i="14" s="1"/>
  <c r="AM31" i="35"/>
  <c r="AM31" i="14" l="1"/>
  <c r="AT31" i="14" s="1"/>
  <c r="AM32" i="35"/>
  <c r="AP29" i="14"/>
  <c r="AQ29" i="14" s="1"/>
  <c r="AN30" i="14"/>
  <c r="AP30" i="14" l="1"/>
  <c r="AQ30" i="14" s="1"/>
  <c r="AN31" i="14"/>
  <c r="AM33" i="35"/>
  <c r="AM32" i="14"/>
  <c r="AT32" i="14" s="1"/>
  <c r="AM34" i="35" l="1"/>
  <c r="AM33" i="14"/>
  <c r="AT33" i="14" s="1"/>
  <c r="AN32" i="14"/>
  <c r="AP31" i="14"/>
  <c r="AQ31" i="14" s="1"/>
  <c r="AN33" i="14" l="1"/>
  <c r="AP32" i="14"/>
  <c r="AQ32" i="14" s="1"/>
  <c r="AM34" i="14"/>
  <c r="AT34" i="14" s="1"/>
  <c r="AM35" i="35"/>
  <c r="AM36" i="35" l="1"/>
  <c r="AM35" i="14"/>
  <c r="AT35" i="14" s="1"/>
  <c r="AN34" i="14"/>
  <c r="AP33" i="14"/>
  <c r="AQ33" i="14" s="1"/>
  <c r="AP34" i="14" l="1"/>
  <c r="AQ34" i="14" s="1"/>
  <c r="AN35" i="14"/>
  <c r="AM37" i="35"/>
  <c r="AM36" i="14"/>
  <c r="AT36" i="14" s="1"/>
  <c r="AM38" i="35" l="1"/>
  <c r="AM37" i="14"/>
  <c r="AT37" i="14" s="1"/>
  <c r="AP35" i="14"/>
  <c r="AQ35" i="14" s="1"/>
  <c r="AN36" i="14"/>
  <c r="AN37" i="14" l="1"/>
  <c r="AP36" i="14"/>
  <c r="AQ36" i="14" s="1"/>
  <c r="AM38" i="14"/>
  <c r="AT38" i="14" s="1"/>
  <c r="AM39" i="35"/>
  <c r="AM39" i="14" l="1"/>
  <c r="AT39" i="14" s="1"/>
  <c r="AM40" i="35"/>
  <c r="AP37" i="14"/>
  <c r="AQ37" i="14" s="1"/>
  <c r="AN38" i="14"/>
  <c r="AP38" i="14" l="1"/>
  <c r="AQ38" i="14" s="1"/>
  <c r="AN39" i="14"/>
  <c r="AM41" i="35"/>
  <c r="AM40" i="14"/>
  <c r="AT40" i="14" s="1"/>
  <c r="AM42" i="35" l="1"/>
  <c r="AM41" i="14"/>
  <c r="AT41" i="14" s="1"/>
  <c r="AN40" i="14"/>
  <c r="AP39" i="14"/>
  <c r="AQ39" i="14" s="1"/>
  <c r="AP40" i="14" l="1"/>
  <c r="AQ40" i="14" s="1"/>
  <c r="AN41" i="14"/>
  <c r="AM43" i="35"/>
  <c r="AM42" i="14"/>
  <c r="AT42" i="14" s="1"/>
  <c r="AM44" i="35" l="1"/>
  <c r="AM43" i="14"/>
  <c r="AT43" i="14" s="1"/>
  <c r="AN42" i="14"/>
  <c r="AP41" i="14"/>
  <c r="AQ41" i="14" s="1"/>
  <c r="AN43" i="14" l="1"/>
  <c r="AP42" i="14"/>
  <c r="AQ42" i="14" s="1"/>
  <c r="AM45" i="35"/>
  <c r="AM44" i="14"/>
  <c r="AT44" i="14" s="1"/>
  <c r="AM46" i="35" l="1"/>
  <c r="AM45" i="14"/>
  <c r="AT45" i="14" s="1"/>
  <c r="AP43" i="14"/>
  <c r="AQ43" i="14" s="1"/>
  <c r="AN44" i="14"/>
  <c r="AP44" i="14" l="1"/>
  <c r="AQ44" i="14" s="1"/>
  <c r="AN45" i="14"/>
  <c r="AM46" i="14"/>
  <c r="AT46" i="14" s="1"/>
  <c r="AM47" i="35"/>
  <c r="AM47" i="14" l="1"/>
  <c r="AM48" i="35"/>
  <c r="AN46" i="14"/>
  <c r="AP45" i="14"/>
  <c r="AQ45" i="14" s="1"/>
  <c r="AT47" i="14" l="1"/>
  <c r="AY36" i="26"/>
  <c r="AM49" i="35"/>
  <c r="AM48" i="14"/>
  <c r="AT48" i="14" s="1"/>
  <c r="AN47" i="14"/>
  <c r="AP46" i="14"/>
  <c r="AQ46" i="14" s="1"/>
  <c r="AN48" i="14" l="1"/>
  <c r="AP47" i="14"/>
  <c r="AQ47" i="14" s="1"/>
  <c r="AM50" i="35"/>
  <c r="AM49" i="14"/>
  <c r="AT49" i="14" s="1"/>
  <c r="AM50" i="14" l="1"/>
  <c r="AT50" i="14" s="1"/>
  <c r="AM51" i="35"/>
  <c r="AP48" i="14"/>
  <c r="AQ48" i="14" s="1"/>
  <c r="AN49" i="14"/>
  <c r="AN50" i="14" l="1"/>
  <c r="AP49" i="14"/>
  <c r="AQ49" i="14" s="1"/>
  <c r="AM52" i="35"/>
  <c r="AM51" i="14"/>
  <c r="AT51" i="14" s="1"/>
  <c r="AM52" i="14" l="1"/>
  <c r="AT52" i="14" s="1"/>
  <c r="AM53" i="35"/>
  <c r="AP50" i="14"/>
  <c r="AQ50" i="14" s="1"/>
  <c r="AN51" i="14"/>
  <c r="AN52" i="14" l="1"/>
  <c r="AP51" i="14"/>
  <c r="AQ51" i="14" s="1"/>
  <c r="AM53" i="14"/>
  <c r="AT53" i="14" s="1"/>
  <c r="AM54" i="35"/>
  <c r="AM54" i="14" l="1"/>
  <c r="AT54" i="14" s="1"/>
  <c r="AM55" i="35"/>
  <c r="AN53" i="14"/>
  <c r="AP52" i="14"/>
  <c r="AQ52" i="14" s="1"/>
  <c r="AM56" i="35" l="1"/>
  <c r="AM55" i="14"/>
  <c r="AT55" i="14" s="1"/>
  <c r="AP53" i="14"/>
  <c r="AQ53" i="14" s="1"/>
  <c r="AN54" i="14"/>
  <c r="AP54" i="14" l="1"/>
  <c r="AQ54" i="14" s="1"/>
  <c r="AN55" i="14"/>
  <c r="AM56" i="14"/>
  <c r="AT56" i="14" s="1"/>
  <c r="AM57" i="35"/>
  <c r="AM58" i="35" l="1"/>
  <c r="AM57" i="14"/>
  <c r="AT57" i="14" s="1"/>
  <c r="AP55" i="14"/>
  <c r="AQ55" i="14" s="1"/>
  <c r="AN56" i="14"/>
  <c r="AP56" i="14" l="1"/>
  <c r="AQ56" i="14" s="1"/>
  <c r="AN57" i="14"/>
  <c r="AM58" i="14"/>
  <c r="AT58" i="14" s="1"/>
  <c r="AM59" i="35"/>
  <c r="AM59" i="14" l="1"/>
  <c r="AT59" i="14" s="1"/>
  <c r="AM60" i="35"/>
  <c r="AP57" i="14"/>
  <c r="AQ57" i="14" s="1"/>
  <c r="AN58" i="14"/>
  <c r="AP58" i="14" l="1"/>
  <c r="AQ58" i="14" s="1"/>
  <c r="AN59" i="14"/>
  <c r="AM60" i="14"/>
  <c r="AT60" i="14" s="1"/>
  <c r="AM61" i="35"/>
  <c r="AM61" i="14" l="1"/>
  <c r="AT61" i="14" s="1"/>
  <c r="AM62" i="35"/>
  <c r="AN60" i="14"/>
  <c r="AP59" i="14"/>
  <c r="AQ59" i="14" s="1"/>
  <c r="AN61" i="14" l="1"/>
  <c r="AP60" i="14"/>
  <c r="AQ60" i="14" s="1"/>
  <c r="AM63" i="35"/>
  <c r="AM62" i="14"/>
  <c r="AT62" i="14" s="1"/>
  <c r="AM63" i="14" l="1"/>
  <c r="AT63" i="14" s="1"/>
  <c r="AM64" i="35"/>
  <c r="AN62" i="14"/>
  <c r="AP61" i="14"/>
  <c r="AQ61" i="14" s="1"/>
  <c r="AM65" i="35" l="1"/>
  <c r="AM64" i="14"/>
  <c r="AT64" i="14" s="1"/>
  <c r="AP62" i="14"/>
  <c r="AQ62" i="14" s="1"/>
  <c r="AN63" i="14"/>
  <c r="AP63" i="14" l="1"/>
  <c r="AQ63" i="14" s="1"/>
  <c r="AN64" i="14"/>
  <c r="AM65" i="14"/>
  <c r="AT65" i="14" s="1"/>
  <c r="AM66" i="35"/>
  <c r="AM66" i="14" l="1"/>
  <c r="AT66" i="14" s="1"/>
  <c r="AM67" i="35"/>
  <c r="AP64" i="14"/>
  <c r="AQ64" i="14" s="1"/>
  <c r="AN65" i="14"/>
  <c r="AN66" i="14" l="1"/>
  <c r="AP65" i="14"/>
  <c r="AQ65" i="14" s="1"/>
  <c r="AM68" i="35"/>
  <c r="AM67" i="14"/>
  <c r="AT67" i="14" s="1"/>
  <c r="AM68" i="14" l="1"/>
  <c r="AT68" i="14" s="1"/>
  <c r="AM69" i="35"/>
  <c r="AN67" i="14"/>
  <c r="AP66" i="14"/>
  <c r="AQ66" i="14" s="1"/>
  <c r="AM70" i="35" l="1"/>
  <c r="AM70" i="14" s="1"/>
  <c r="AM69" i="14"/>
  <c r="AT69" i="14" s="1"/>
  <c r="AN68" i="14"/>
  <c r="AP67" i="14"/>
  <c r="AQ67" i="14" s="1"/>
  <c r="AT70" i="14" l="1"/>
  <c r="AY38" i="26"/>
  <c r="AX38" i="26" s="1"/>
  <c r="AN69" i="14"/>
  <c r="AP68" i="14"/>
  <c r="AQ68" i="14" s="1"/>
  <c r="AN70" i="14" l="1"/>
  <c r="AP70" i="14" s="1"/>
  <c r="AQ70" i="14" s="1"/>
  <c r="AP69" i="14"/>
  <c r="AQ69" i="14" s="1"/>
  <c r="CW95" i="26"/>
  <c r="CW100" i="26" l="1"/>
  <c r="DG100" i="26" s="1"/>
  <c r="DG95" i="26"/>
</calcChain>
</file>

<file path=xl/sharedStrings.xml><?xml version="1.0" encoding="utf-8"?>
<sst xmlns="http://schemas.openxmlformats.org/spreadsheetml/2006/main" count="1692" uniqueCount="621">
  <si>
    <t>年齢</t>
    <rPh sb="0" eb="2">
      <t>ネンレイ</t>
    </rPh>
    <phoneticPr fontId="2"/>
  </si>
  <si>
    <t>子供1</t>
    <rPh sb="0" eb="2">
      <t>コドモ</t>
    </rPh>
    <phoneticPr fontId="2"/>
  </si>
  <si>
    <t>子供2</t>
    <rPh sb="0" eb="2">
      <t>コドモ</t>
    </rPh>
    <phoneticPr fontId="2"/>
  </si>
  <si>
    <t>子供3</t>
    <rPh sb="0" eb="2">
      <t>コドモ</t>
    </rPh>
    <phoneticPr fontId="2"/>
  </si>
  <si>
    <t>子供4</t>
    <rPh sb="0" eb="2">
      <t>コドモ</t>
    </rPh>
    <phoneticPr fontId="2"/>
  </si>
  <si>
    <t>西暦</t>
    <rPh sb="0" eb="2">
      <t>セイレキ</t>
    </rPh>
    <phoneticPr fontId="2"/>
  </si>
  <si>
    <t>収支 小計</t>
  </si>
  <si>
    <t>収支</t>
  </si>
  <si>
    <t>収支累計</t>
  </si>
  <si>
    <t>投資をしたら</t>
  </si>
  <si>
    <t>投資額</t>
  </si>
  <si>
    <t>貯金</t>
  </si>
  <si>
    <t>投資計算</t>
  </si>
  <si>
    <t>累積投資額</t>
  </si>
  <si>
    <t>投資収入</t>
  </si>
  <si>
    <t>収入</t>
  </si>
  <si>
    <t>西暦</t>
  </si>
  <si>
    <t>年齢</t>
  </si>
  <si>
    <t>住居</t>
  </si>
  <si>
    <t>住居維持費</t>
  </si>
  <si>
    <t>食費</t>
  </si>
  <si>
    <t>服費</t>
  </si>
  <si>
    <t>電気</t>
  </si>
  <si>
    <t>ガス</t>
  </si>
  <si>
    <t>水道</t>
  </si>
  <si>
    <t>塾</t>
  </si>
  <si>
    <t>学校</t>
  </si>
  <si>
    <t>インターネット</t>
  </si>
  <si>
    <t>携帯</t>
  </si>
  <si>
    <t>雑費</t>
  </si>
  <si>
    <t>家具</t>
  </si>
  <si>
    <t>車1</t>
  </si>
  <si>
    <t>毎月</t>
  </si>
  <si>
    <t>年収</t>
    <rPh sb="0" eb="2">
      <t>ネンシュウ</t>
    </rPh>
    <phoneticPr fontId="2"/>
  </si>
  <si>
    <t>手取り</t>
    <rPh sb="0" eb="2">
      <t>テド</t>
    </rPh>
    <phoneticPr fontId="2"/>
  </si>
  <si>
    <t>合計</t>
    <rPh sb="0" eb="2">
      <t>ゴウケイ</t>
    </rPh>
    <phoneticPr fontId="2"/>
  </si>
  <si>
    <t>支出3  衣食住勉</t>
    <phoneticPr fontId="2"/>
  </si>
  <si>
    <t>支出2  固定費</t>
    <phoneticPr fontId="2"/>
  </si>
  <si>
    <t>支出1  衣食住</t>
    <phoneticPr fontId="2"/>
  </si>
  <si>
    <t>雑収入</t>
    <rPh sb="0" eb="3">
      <t>ザツシュウニュウ</t>
    </rPh>
    <phoneticPr fontId="2"/>
  </si>
  <si>
    <t>親1</t>
    <rPh sb="0" eb="1">
      <t>オヤ</t>
    </rPh>
    <phoneticPr fontId="2"/>
  </si>
  <si>
    <t>親2</t>
    <rPh sb="0" eb="1">
      <t>オヤ</t>
    </rPh>
    <phoneticPr fontId="2"/>
  </si>
  <si>
    <t>保険</t>
    <rPh sb="0" eb="2">
      <t>ホケン</t>
    </rPh>
    <phoneticPr fontId="2"/>
  </si>
  <si>
    <t>年収</t>
    <rPh sb="0" eb="2">
      <t>ネンシュウ</t>
    </rPh>
    <phoneticPr fontId="2"/>
  </si>
  <si>
    <t>退職</t>
    <rPh sb="0" eb="2">
      <t>タイショク</t>
    </rPh>
    <phoneticPr fontId="2"/>
  </si>
  <si>
    <t>現在</t>
    <rPh sb="0" eb="2">
      <t>ゲンザイ</t>
    </rPh>
    <phoneticPr fontId="2"/>
  </si>
  <si>
    <t>課長</t>
    <rPh sb="0" eb="2">
      <t>カチョウ</t>
    </rPh>
    <phoneticPr fontId="2"/>
  </si>
  <si>
    <t>主任</t>
    <rPh sb="0" eb="2">
      <t>シュニン</t>
    </rPh>
    <phoneticPr fontId="2"/>
  </si>
  <si>
    <t>部長</t>
    <rPh sb="0" eb="2">
      <t>ブチョウ</t>
    </rPh>
    <phoneticPr fontId="2"/>
  </si>
  <si>
    <t>役停</t>
    <rPh sb="0" eb="1">
      <t>ヤク</t>
    </rPh>
    <rPh sb="1" eb="2">
      <t>テイ</t>
    </rPh>
    <phoneticPr fontId="2"/>
  </si>
  <si>
    <t>年金</t>
    <rPh sb="0" eb="2">
      <t>ネンキン</t>
    </rPh>
    <phoneticPr fontId="2"/>
  </si>
  <si>
    <t>親①
年齢</t>
    <rPh sb="0" eb="1">
      <t>オヤ</t>
    </rPh>
    <rPh sb="3" eb="5">
      <t>ネンレイ</t>
    </rPh>
    <phoneticPr fontId="2"/>
  </si>
  <si>
    <t>小学校</t>
    <rPh sb="0" eb="3">
      <t>ショウガッコウ</t>
    </rPh>
    <phoneticPr fontId="2"/>
  </si>
  <si>
    <t>高校</t>
    <rPh sb="0" eb="2">
      <t>コウコウ</t>
    </rPh>
    <phoneticPr fontId="2"/>
  </si>
  <si>
    <t>大学</t>
    <rPh sb="0" eb="2">
      <t>ダイガク</t>
    </rPh>
    <phoneticPr fontId="2"/>
  </si>
  <si>
    <t>私立</t>
    <rPh sb="0" eb="2">
      <t>シリツ</t>
    </rPh>
    <phoneticPr fontId="2"/>
  </si>
  <si>
    <t>公立</t>
    <rPh sb="0" eb="2">
      <t>コウリツ</t>
    </rPh>
    <phoneticPr fontId="2"/>
  </si>
  <si>
    <t>低学年</t>
    <rPh sb="0" eb="3">
      <t>テイガクネン</t>
    </rPh>
    <phoneticPr fontId="2"/>
  </si>
  <si>
    <t>保育園</t>
    <rPh sb="0" eb="3">
      <t>ホイクエン</t>
    </rPh>
    <phoneticPr fontId="2"/>
  </si>
  <si>
    <t>高学年</t>
    <rPh sb="0" eb="3">
      <t>コウガクネン</t>
    </rPh>
    <phoneticPr fontId="2"/>
  </si>
  <si>
    <t>中学生</t>
    <rPh sb="0" eb="3">
      <t>チュウガクセイ</t>
    </rPh>
    <phoneticPr fontId="2"/>
  </si>
  <si>
    <t>高校生</t>
    <rPh sb="0" eb="3">
      <t>コウコウセイ</t>
    </rPh>
    <phoneticPr fontId="2"/>
  </si>
  <si>
    <t>学校</t>
    <rPh sb="0" eb="2">
      <t>ガッコウ</t>
    </rPh>
    <phoneticPr fontId="2"/>
  </si>
  <si>
    <t>幼稚園</t>
    <rPh sb="0" eb="3">
      <t>ヨウチエン</t>
    </rPh>
    <phoneticPr fontId="2"/>
  </si>
  <si>
    <t>中学校</t>
    <rPh sb="0" eb="3">
      <t>チュウガッコウ</t>
    </rPh>
    <phoneticPr fontId="2"/>
  </si>
  <si>
    <t>https://www.jfc.go.jp/n/findings/pdf/kyouikuhi_chousa_k_h30.pdf</t>
  </si>
  <si>
    <t>大学生</t>
    <rPh sb="0" eb="3">
      <t>ダイガクセイ</t>
    </rPh>
    <phoneticPr fontId="2"/>
  </si>
  <si>
    <t>大学院</t>
    <rPh sb="0" eb="3">
      <t>ダイガクイン</t>
    </rPh>
    <phoneticPr fontId="2"/>
  </si>
  <si>
    <t>https://allabout.co.jp/gm/gc/18712/</t>
  </si>
  <si>
    <t>私立理系</t>
    <rPh sb="0" eb="2">
      <t>シリツ</t>
    </rPh>
    <rPh sb="2" eb="4">
      <t>リケイ</t>
    </rPh>
    <phoneticPr fontId="2"/>
  </si>
  <si>
    <t>私立文系</t>
    <rPh sb="0" eb="2">
      <t>シリツ</t>
    </rPh>
    <rPh sb="2" eb="4">
      <t>ブンケイ</t>
    </rPh>
    <phoneticPr fontId="2"/>
  </si>
  <si>
    <t>理系</t>
    <rPh sb="0" eb="2">
      <t>リケイ</t>
    </rPh>
    <phoneticPr fontId="2"/>
  </si>
  <si>
    <t>その他</t>
    <rPh sb="2" eb="3">
      <t>タ</t>
    </rPh>
    <phoneticPr fontId="2"/>
  </si>
  <si>
    <t>子供なし</t>
    <rPh sb="0" eb="2">
      <t>コドモ</t>
    </rPh>
    <phoneticPr fontId="2"/>
  </si>
  <si>
    <t>子供有</t>
    <rPh sb="0" eb="2">
      <t>コドモ</t>
    </rPh>
    <rPh sb="2" eb="3">
      <t>アリ</t>
    </rPh>
    <phoneticPr fontId="2"/>
  </si>
  <si>
    <t>その他1</t>
    <rPh sb="2" eb="3">
      <t>タ</t>
    </rPh>
    <phoneticPr fontId="2"/>
  </si>
  <si>
    <t>その他2</t>
    <rPh sb="2" eb="3">
      <t>タ</t>
    </rPh>
    <phoneticPr fontId="2"/>
  </si>
  <si>
    <t>その他3</t>
    <rPh sb="2" eb="3">
      <t>タ</t>
    </rPh>
    <phoneticPr fontId="2"/>
  </si>
  <si>
    <t>その他4</t>
    <rPh sb="2" eb="3">
      <t>タ</t>
    </rPh>
    <phoneticPr fontId="2"/>
  </si>
  <si>
    <t>その他5</t>
    <rPh sb="2" eb="3">
      <t>タ</t>
    </rPh>
    <phoneticPr fontId="2"/>
  </si>
  <si>
    <t>その他6</t>
    <rPh sb="2" eb="3">
      <t>タ</t>
    </rPh>
    <phoneticPr fontId="2"/>
  </si>
  <si>
    <t>その他7</t>
    <rPh sb="2" eb="3">
      <t>タ</t>
    </rPh>
    <phoneticPr fontId="2"/>
  </si>
  <si>
    <t>支出3  衣食住勉</t>
  </si>
  <si>
    <t>支給額　→　国民年金6.5万円×人数　＋　(働いていた期間(年)×その期間の平均年収)/40×1.8％</t>
  </si>
  <si>
    <t>子供の学習費調査</t>
    <phoneticPr fontId="2"/>
  </si>
  <si>
    <t>定期</t>
    <rPh sb="0" eb="2">
      <t>テイキ</t>
    </rPh>
    <phoneticPr fontId="2"/>
  </si>
  <si>
    <t>(万円/月)</t>
    <rPh sb="1" eb="3">
      <t>マンエン</t>
    </rPh>
    <rPh sb="4" eb="5">
      <t>ツキ</t>
    </rPh>
    <phoneticPr fontId="2"/>
  </si>
  <si>
    <t>支出3  娯楽</t>
    <rPh sb="5" eb="7">
      <t>ゴラク</t>
    </rPh>
    <phoneticPr fontId="2"/>
  </si>
  <si>
    <t>子供にかかる費用～学校編～エクセルで簡易FP</t>
    <rPh sb="0" eb="2">
      <t>コドモ</t>
    </rPh>
    <rPh sb="6" eb="8">
      <t>ヒヨウ</t>
    </rPh>
    <rPh sb="9" eb="11">
      <t>ガッコウ</t>
    </rPh>
    <rPh sb="11" eb="12">
      <t>ヘン</t>
    </rPh>
    <rPh sb="18" eb="20">
      <t>カンイ</t>
    </rPh>
    <phoneticPr fontId="2"/>
  </si>
  <si>
    <t>http://www.mext.go.jp/b_menu/toukei/chousa03/gakushuuhi/kekka/k_detail/__icsFiles/afieldfile/2017/12/22/1399308_3.pdf</t>
    <phoneticPr fontId="2"/>
  </si>
  <si>
    <t>小学校1年生</t>
    <rPh sb="0" eb="3">
      <t>ショウガッコウ</t>
    </rPh>
    <rPh sb="4" eb="6">
      <t>ネンセイ</t>
    </rPh>
    <phoneticPr fontId="2"/>
  </si>
  <si>
    <t>幼稚園3歳</t>
    <rPh sb="0" eb="3">
      <t>ヨウチエン</t>
    </rPh>
    <rPh sb="4" eb="5">
      <t>サイ</t>
    </rPh>
    <phoneticPr fontId="2"/>
  </si>
  <si>
    <t>幼稚園4歳</t>
    <rPh sb="0" eb="3">
      <t>ヨウチエン</t>
    </rPh>
    <rPh sb="4" eb="5">
      <t>サイ</t>
    </rPh>
    <phoneticPr fontId="2"/>
  </si>
  <si>
    <t>幼稚園5歳</t>
    <rPh sb="0" eb="3">
      <t>ヨウチエン</t>
    </rPh>
    <rPh sb="4" eb="5">
      <t>サイ</t>
    </rPh>
    <phoneticPr fontId="2"/>
  </si>
  <si>
    <t>小学校2年生</t>
    <rPh sb="0" eb="3">
      <t>ショウガッコウ</t>
    </rPh>
    <rPh sb="4" eb="6">
      <t>ネンセイ</t>
    </rPh>
    <phoneticPr fontId="2"/>
  </si>
  <si>
    <t>小学校3年生</t>
    <rPh sb="0" eb="3">
      <t>ショウガッコウ</t>
    </rPh>
    <rPh sb="4" eb="6">
      <t>ネンセイ</t>
    </rPh>
    <phoneticPr fontId="2"/>
  </si>
  <si>
    <t>小学校4年生</t>
    <rPh sb="0" eb="3">
      <t>ショウガッコウ</t>
    </rPh>
    <rPh sb="4" eb="6">
      <t>ネンセイ</t>
    </rPh>
    <phoneticPr fontId="2"/>
  </si>
  <si>
    <t>小学校5年生</t>
    <rPh sb="0" eb="3">
      <t>ショウガッコウ</t>
    </rPh>
    <rPh sb="4" eb="6">
      <t>ネンセイ</t>
    </rPh>
    <phoneticPr fontId="2"/>
  </si>
  <si>
    <t>小学校6年生</t>
    <rPh sb="0" eb="3">
      <t>ショウガッコウ</t>
    </rPh>
    <rPh sb="4" eb="6">
      <t>ネンセイ</t>
    </rPh>
    <phoneticPr fontId="2"/>
  </si>
  <si>
    <t>中学校1年生</t>
    <rPh sb="0" eb="3">
      <t>チュウガッコウ</t>
    </rPh>
    <rPh sb="4" eb="6">
      <t>ネンセイ</t>
    </rPh>
    <phoneticPr fontId="2"/>
  </si>
  <si>
    <t>中学校2年生</t>
    <rPh sb="0" eb="3">
      <t>チュウガッコウ</t>
    </rPh>
    <rPh sb="4" eb="6">
      <t>ネンセイ</t>
    </rPh>
    <phoneticPr fontId="2"/>
  </si>
  <si>
    <t>中学校3年生</t>
    <rPh sb="0" eb="3">
      <t>チュウガッコウ</t>
    </rPh>
    <rPh sb="4" eb="6">
      <t>ネンセイ</t>
    </rPh>
    <phoneticPr fontId="2"/>
  </si>
  <si>
    <t>高校1年生</t>
    <rPh sb="0" eb="2">
      <t>コウコウ</t>
    </rPh>
    <rPh sb="3" eb="5">
      <t>ネンセイ</t>
    </rPh>
    <phoneticPr fontId="2"/>
  </si>
  <si>
    <t>高校2年生</t>
    <rPh sb="0" eb="2">
      <t>コウコウ</t>
    </rPh>
    <rPh sb="3" eb="5">
      <t>ネンセイ</t>
    </rPh>
    <phoneticPr fontId="2"/>
  </si>
  <si>
    <t>高校3年生</t>
    <rPh sb="0" eb="2">
      <t>コウコウ</t>
    </rPh>
    <rPh sb="3" eb="5">
      <t>ネンセイ</t>
    </rPh>
    <phoneticPr fontId="2"/>
  </si>
  <si>
    <t>年度別</t>
    <rPh sb="0" eb="2">
      <t>ネンド</t>
    </rPh>
    <rPh sb="2" eb="3">
      <t>ベツ</t>
    </rPh>
    <phoneticPr fontId="2"/>
  </si>
  <si>
    <t>総額</t>
    <rPh sb="0" eb="2">
      <t>ソウガク</t>
    </rPh>
    <phoneticPr fontId="2"/>
  </si>
  <si>
    <t>平均</t>
    <rPh sb="0" eb="2">
      <t>ヘイキン</t>
    </rPh>
    <phoneticPr fontId="2"/>
  </si>
  <si>
    <t>http://www.mext.go.jp/b_menu/toukei/chousa03/gakushuuhi/kekka/k_detail/1399308.htm</t>
  </si>
  <si>
    <t>差</t>
    <rPh sb="0" eb="1">
      <t>サ</t>
    </rPh>
    <phoneticPr fontId="2"/>
  </si>
  <si>
    <t>私立/公立</t>
    <rPh sb="0" eb="2">
      <t>シリツ</t>
    </rPh>
    <rPh sb="3" eb="5">
      <t>コウリツ</t>
    </rPh>
    <phoneticPr fontId="2"/>
  </si>
  <si>
    <t>1年当たり</t>
    <rPh sb="1" eb="2">
      <t>ネン</t>
    </rPh>
    <rPh sb="2" eb="3">
      <t>ア</t>
    </rPh>
    <phoneticPr fontId="2"/>
  </si>
  <si>
    <t>合計(除く幼稚園)</t>
    <rPh sb="0" eb="2">
      <t>ゴウケイ</t>
    </rPh>
    <rPh sb="3" eb="4">
      <t>ノゾ</t>
    </rPh>
    <rPh sb="5" eb="8">
      <t>ヨウチエン</t>
    </rPh>
    <phoneticPr fontId="2"/>
  </si>
  <si>
    <t>私立-公立</t>
    <rPh sb="0" eb="2">
      <t>シリツ</t>
    </rPh>
    <rPh sb="3" eb="5">
      <t>コウリツ</t>
    </rPh>
    <phoneticPr fontId="2"/>
  </si>
  <si>
    <t>合計</t>
    <rPh sb="0" eb="2">
      <t>ゴウケイ</t>
    </rPh>
    <phoneticPr fontId="2"/>
  </si>
  <si>
    <t>その他</t>
    <rPh sb="2" eb="3">
      <t>タ</t>
    </rPh>
    <phoneticPr fontId="2"/>
  </si>
  <si>
    <t>補助学習費</t>
    <rPh sb="0" eb="2">
      <t>ホジョ</t>
    </rPh>
    <rPh sb="2" eb="4">
      <t>ガクシュウ</t>
    </rPh>
    <rPh sb="4" eb="5">
      <t>ヒ</t>
    </rPh>
    <phoneticPr fontId="2"/>
  </si>
  <si>
    <t>塾/習い事</t>
    <rPh sb="0" eb="1">
      <t>ジュク</t>
    </rPh>
    <rPh sb="2" eb="3">
      <t>ナラ</t>
    </rPh>
    <rPh sb="4" eb="5">
      <t>ゴト</t>
    </rPh>
    <phoneticPr fontId="2"/>
  </si>
  <si>
    <t>http://www.mext.go.jp/a_menu/koutou/shinkou/07021403/1412031.htm</t>
  </si>
  <si>
    <t>国立大学</t>
    <rPh sb="0" eb="2">
      <t>コクリツ</t>
    </rPh>
    <rPh sb="2" eb="4">
      <t>ダイガク</t>
    </rPh>
    <phoneticPr fontId="2"/>
  </si>
  <si>
    <t>公立大学</t>
    <rPh sb="0" eb="2">
      <t>コウリツ</t>
    </rPh>
    <rPh sb="2" eb="4">
      <t>ダイガク</t>
    </rPh>
    <phoneticPr fontId="2"/>
  </si>
  <si>
    <t>文・教育</t>
  </si>
  <si>
    <t>神・仏教</t>
  </si>
  <si>
    <t>社会福祉</t>
  </si>
  <si>
    <t>法・商・経</t>
  </si>
  <si>
    <t>平均</t>
  </si>
  <si>
    <t>理・工</t>
  </si>
  <si>
    <t>薬</t>
  </si>
  <si>
    <t>農・獣医</t>
  </si>
  <si>
    <t>家政</t>
  </si>
  <si>
    <t>芸術</t>
  </si>
  <si>
    <t>体育</t>
  </si>
  <si>
    <t>保健</t>
  </si>
  <si>
    <t>医</t>
  </si>
  <si>
    <t>歯</t>
  </si>
  <si>
    <t>全平均</t>
    <phoneticPr fontId="2"/>
  </si>
  <si>
    <t>4年間</t>
    <rPh sb="1" eb="3">
      <t>ネンカン</t>
    </rPh>
    <phoneticPr fontId="2"/>
  </si>
  <si>
    <t>授業料</t>
    <rPh sb="0" eb="3">
      <t>ジュギョウリョウ</t>
    </rPh>
    <phoneticPr fontId="2"/>
  </si>
  <si>
    <t>入学料</t>
    <rPh sb="0" eb="2">
      <t>ニュウガク</t>
    </rPh>
    <rPh sb="2" eb="3">
      <t>リョウ</t>
    </rPh>
    <phoneticPr fontId="2"/>
  </si>
  <si>
    <t>施設・設備</t>
    <rPh sb="0" eb="2">
      <t>シセツ</t>
    </rPh>
    <rPh sb="3" eb="5">
      <t>セツビ</t>
    </rPh>
    <phoneticPr fontId="2"/>
  </si>
  <si>
    <t>文系</t>
    <rPh sb="0" eb="2">
      <t>ブンケイ</t>
    </rPh>
    <phoneticPr fontId="2"/>
  </si>
  <si>
    <t>私立全平均</t>
    <rPh sb="0" eb="2">
      <t>シリツ</t>
    </rPh>
    <rPh sb="2" eb="3">
      <t>ゼン</t>
    </rPh>
    <rPh sb="3" eb="5">
      <t>ヘイキン</t>
    </rPh>
    <phoneticPr fontId="2"/>
  </si>
  <si>
    <t>種別</t>
    <rPh sb="0" eb="2">
      <t>シュベツ</t>
    </rPh>
    <phoneticPr fontId="2"/>
  </si>
  <si>
    <t>医・歯</t>
    <rPh sb="0" eb="1">
      <t>イ</t>
    </rPh>
    <rPh sb="2" eb="3">
      <t>ハ</t>
    </rPh>
    <phoneticPr fontId="2"/>
  </si>
  <si>
    <t>6年間</t>
    <rPh sb="1" eb="3">
      <t>ネンカン</t>
    </rPh>
    <phoneticPr fontId="2"/>
  </si>
  <si>
    <t>対国立</t>
    <rPh sb="0" eb="1">
      <t>タイ</t>
    </rPh>
    <rPh sb="1" eb="3">
      <t>コクリツ</t>
    </rPh>
    <phoneticPr fontId="2"/>
  </si>
  <si>
    <t>文系平均</t>
    <rPh sb="0" eb="2">
      <t>ブンケイ</t>
    </rPh>
    <rPh sb="2" eb="4">
      <t>ヘイキン</t>
    </rPh>
    <phoneticPr fontId="2"/>
  </si>
  <si>
    <t>理系平均</t>
    <rPh sb="0" eb="2">
      <t>リケイ</t>
    </rPh>
    <rPh sb="2" eb="4">
      <t>ヘイキン</t>
    </rPh>
    <phoneticPr fontId="2"/>
  </si>
  <si>
    <t>医・歯</t>
    <rPh sb="0" eb="1">
      <t>イ</t>
    </rPh>
    <rPh sb="2" eb="3">
      <t>ハ</t>
    </rPh>
    <phoneticPr fontId="2"/>
  </si>
  <si>
    <t>その他</t>
    <rPh sb="2" eb="3">
      <t>タ</t>
    </rPh>
    <phoneticPr fontId="2"/>
  </si>
  <si>
    <t>私立</t>
    <rPh sb="0" eb="2">
      <t>シリツ</t>
    </rPh>
    <phoneticPr fontId="2"/>
  </si>
  <si>
    <t>学費のみ</t>
    <rPh sb="0" eb="2">
      <t>ガクヒ</t>
    </rPh>
    <phoneticPr fontId="2"/>
  </si>
  <si>
    <t>+通学費
1万/月</t>
    <rPh sb="1" eb="3">
      <t>ツウガク</t>
    </rPh>
    <rPh sb="3" eb="4">
      <t>ヒ</t>
    </rPh>
    <rPh sb="6" eb="7">
      <t>マン</t>
    </rPh>
    <rPh sb="8" eb="9">
      <t>ツキ</t>
    </rPh>
    <phoneticPr fontId="2"/>
  </si>
  <si>
    <t>+仕送り
5万/月</t>
    <rPh sb="1" eb="3">
      <t>シオク</t>
    </rPh>
    <rPh sb="6" eb="7">
      <t>マン</t>
    </rPh>
    <rPh sb="8" eb="9">
      <t>ツキ</t>
    </rPh>
    <phoneticPr fontId="2"/>
  </si>
  <si>
    <t>+仕送り
7.5万/月</t>
    <rPh sb="1" eb="3">
      <t>シオク</t>
    </rPh>
    <rPh sb="8" eb="9">
      <t>マン</t>
    </rPh>
    <rPh sb="10" eb="11">
      <t>ツキ</t>
    </rPh>
    <phoneticPr fontId="2"/>
  </si>
  <si>
    <t>ローン</t>
    <phoneticPr fontId="2"/>
  </si>
  <si>
    <t>金利</t>
    <rPh sb="0" eb="2">
      <t>キンリ</t>
    </rPh>
    <phoneticPr fontId="2"/>
  </si>
  <si>
    <t>返済年数</t>
    <rPh sb="0" eb="2">
      <t>ヘンサイ</t>
    </rPh>
    <rPh sb="2" eb="4">
      <t>ネンスウ</t>
    </rPh>
    <phoneticPr fontId="2"/>
  </si>
  <si>
    <t>総支払額</t>
    <rPh sb="0" eb="1">
      <t>ソウ</t>
    </rPh>
    <rPh sb="1" eb="3">
      <t>シハライ</t>
    </rPh>
    <rPh sb="3" eb="4">
      <t>ガク</t>
    </rPh>
    <phoneticPr fontId="2"/>
  </si>
  <si>
    <t>月額</t>
    <rPh sb="0" eb="2">
      <t>ゲツガク</t>
    </rPh>
    <phoneticPr fontId="2"/>
  </si>
  <si>
    <t>年額</t>
    <rPh sb="0" eb="2">
      <t>ネンガク</t>
    </rPh>
    <phoneticPr fontId="2"/>
  </si>
  <si>
    <t>利息</t>
    <rPh sb="0" eb="2">
      <t>リソク</t>
    </rPh>
    <phoneticPr fontId="2"/>
  </si>
  <si>
    <t>お小遣い</t>
    <rPh sb="1" eb="3">
      <t>コヅカ</t>
    </rPh>
    <phoneticPr fontId="2"/>
  </si>
  <si>
    <t>保険</t>
    <rPh sb="0" eb="2">
      <t>ホケン</t>
    </rPh>
    <phoneticPr fontId="2"/>
  </si>
  <si>
    <t>何年後</t>
    <rPh sb="0" eb="3">
      <t>ナンネンゴ</t>
    </rPh>
    <phoneticPr fontId="2"/>
  </si>
  <si>
    <t>時短等</t>
    <rPh sb="0" eb="2">
      <t>ジタン</t>
    </rPh>
    <rPh sb="2" eb="3">
      <t>トウ</t>
    </rPh>
    <phoneticPr fontId="2"/>
  </si>
  <si>
    <t>車1</t>
    <rPh sb="0" eb="1">
      <t>クルマ</t>
    </rPh>
    <phoneticPr fontId="2"/>
  </si>
  <si>
    <t>車2</t>
    <rPh sb="0" eb="1">
      <t>クルマ</t>
    </rPh>
    <phoneticPr fontId="2"/>
  </si>
  <si>
    <t>習い事</t>
    <rPh sb="0" eb="1">
      <t>ナラ</t>
    </rPh>
    <rPh sb="2" eb="3">
      <t>ゴト</t>
    </rPh>
    <phoneticPr fontId="2"/>
  </si>
  <si>
    <t>塾</t>
    <rPh sb="0" eb="1">
      <t>ジュク</t>
    </rPh>
    <phoneticPr fontId="2"/>
  </si>
  <si>
    <t>習い事</t>
    <phoneticPr fontId="2"/>
  </si>
  <si>
    <t>学費</t>
    <rPh sb="0" eb="2">
      <t>ガクヒ</t>
    </rPh>
    <phoneticPr fontId="2"/>
  </si>
  <si>
    <t>塾(万円/月)</t>
    <rPh sb="2" eb="4">
      <t>マンエン</t>
    </rPh>
    <rPh sb="5" eb="6">
      <t>ツキ</t>
    </rPh>
    <phoneticPr fontId="2"/>
  </si>
  <si>
    <t>費用</t>
    <rPh sb="0" eb="2">
      <t>ヒヨウ</t>
    </rPh>
    <phoneticPr fontId="2"/>
  </si>
  <si>
    <t>頭金</t>
    <rPh sb="0" eb="2">
      <t>アタマキン</t>
    </rPh>
    <phoneticPr fontId="2"/>
  </si>
  <si>
    <t>マンション</t>
    <phoneticPr fontId="2"/>
  </si>
  <si>
    <t>平米</t>
    <rPh sb="0" eb="2">
      <t>ヘイベイ</t>
    </rPh>
    <phoneticPr fontId="2"/>
  </si>
  <si>
    <t>修繕費</t>
    <rPh sb="0" eb="3">
      <t>シュウゼンヒ</t>
    </rPh>
    <phoneticPr fontId="2"/>
  </si>
  <si>
    <t>管理費</t>
    <rPh sb="0" eb="3">
      <t>カンリヒ</t>
    </rPh>
    <phoneticPr fontId="2"/>
  </si>
  <si>
    <t>駐車場</t>
    <rPh sb="0" eb="3">
      <t>チュウシャジョウ</t>
    </rPh>
    <phoneticPr fontId="2"/>
  </si>
  <si>
    <t>外壁</t>
    <rPh sb="0" eb="2">
      <t>ガイヘキ</t>
    </rPh>
    <phoneticPr fontId="2"/>
  </si>
  <si>
    <t>屋根の塗装</t>
    <rPh sb="0" eb="2">
      <t>ヤネ</t>
    </rPh>
    <rPh sb="3" eb="5">
      <t>トソウ</t>
    </rPh>
    <phoneticPr fontId="2"/>
  </si>
  <si>
    <t>軒先・軒裏塗装</t>
    <rPh sb="0" eb="2">
      <t>ノキサキ</t>
    </rPh>
    <rPh sb="3" eb="5">
      <t>ノキウラ</t>
    </rPh>
    <rPh sb="5" eb="7">
      <t>トソウ</t>
    </rPh>
    <phoneticPr fontId="2"/>
  </si>
  <si>
    <t>床下メンテ</t>
    <rPh sb="0" eb="2">
      <t>ユカシタ</t>
    </rPh>
    <phoneticPr fontId="2"/>
  </si>
  <si>
    <t>シロアリ駆除</t>
    <rPh sb="4" eb="6">
      <t>クジョ</t>
    </rPh>
    <phoneticPr fontId="2"/>
  </si>
  <si>
    <t>クロス張替え</t>
    <rPh sb="3" eb="5">
      <t>ハリカ</t>
    </rPh>
    <phoneticPr fontId="2"/>
  </si>
  <si>
    <t>給湯器</t>
    <rPh sb="0" eb="3">
      <t>キュウトウキ</t>
    </rPh>
    <phoneticPr fontId="2"/>
  </si>
  <si>
    <t>トイレ</t>
    <phoneticPr fontId="2"/>
  </si>
  <si>
    <t>お風呂</t>
    <rPh sb="1" eb="3">
      <t>フロ</t>
    </rPh>
    <phoneticPr fontId="2"/>
  </si>
  <si>
    <t>屋根</t>
    <rPh sb="0" eb="2">
      <t>ヤネ</t>
    </rPh>
    <phoneticPr fontId="2"/>
  </si>
  <si>
    <t>キッチン</t>
    <phoneticPr fontId="2"/>
  </si>
  <si>
    <t>洗面所</t>
    <rPh sb="0" eb="2">
      <t>センメン</t>
    </rPh>
    <rPh sb="2" eb="3">
      <t>ジョ</t>
    </rPh>
    <phoneticPr fontId="2"/>
  </si>
  <si>
    <t>壁紙・内壁</t>
    <rPh sb="0" eb="2">
      <t>カベガミ</t>
    </rPh>
    <rPh sb="3" eb="5">
      <t>ナイヘキ</t>
    </rPh>
    <phoneticPr fontId="2"/>
  </si>
  <si>
    <t>床</t>
    <rPh sb="0" eb="1">
      <t>ユカ</t>
    </rPh>
    <phoneticPr fontId="2"/>
  </si>
  <si>
    <t>ベランダ</t>
    <phoneticPr fontId="2"/>
  </si>
  <si>
    <t>玄関</t>
    <rPh sb="0" eb="2">
      <t>ゲンカン</t>
    </rPh>
    <phoneticPr fontId="2"/>
  </si>
  <si>
    <t>シロアリ</t>
    <phoneticPr fontId="2"/>
  </si>
  <si>
    <t>給水管</t>
    <rPh sb="0" eb="3">
      <t>キュウスイカン</t>
    </rPh>
    <phoneticPr fontId="2"/>
  </si>
  <si>
    <t>床下</t>
    <rPh sb="0" eb="2">
      <t>ユカシタ</t>
    </rPh>
    <phoneticPr fontId="2"/>
  </si>
  <si>
    <t>サッシ回り</t>
    <rPh sb="3" eb="4">
      <t>マワ</t>
    </rPh>
    <phoneticPr fontId="2"/>
  </si>
  <si>
    <t>修繕の内容は、屋根や外壁の修繕、エレベーターや階段の修繕、駐車場やごみ置き場の修繕などです。</t>
  </si>
  <si>
    <t>マンションの外回りや共有で使用している部分を中心に修繕は行われますが、専用部の修繕は行われません。たとえば、クロスの張り替えやフローリングの修繕、キッチンのリフォームなどを行う場合は別途各家庭で費用を用意しておく必要があります。</t>
  </si>
  <si>
    <t>最低限</t>
    <rPh sb="0" eb="3">
      <t>サイテイゲン</t>
    </rPh>
    <phoneticPr fontId="2"/>
  </si>
  <si>
    <t>1戸建て</t>
    <rPh sb="1" eb="2">
      <t>コ</t>
    </rPh>
    <rPh sb="2" eb="3">
      <t>ダ</t>
    </rPh>
    <phoneticPr fontId="2"/>
  </si>
  <si>
    <t>リフォーム</t>
    <phoneticPr fontId="2"/>
  </si>
  <si>
    <t>土地</t>
    <rPh sb="0" eb="2">
      <t>トチ</t>
    </rPh>
    <phoneticPr fontId="2"/>
  </si>
  <si>
    <t>建物</t>
    <rPh sb="0" eb="2">
      <t>タテモノ</t>
    </rPh>
    <phoneticPr fontId="2"/>
  </si>
  <si>
    <t>初期評価</t>
    <rPh sb="0" eb="2">
      <t>ショキ</t>
    </rPh>
    <rPh sb="2" eb="4">
      <t>ヒョウカ</t>
    </rPh>
    <phoneticPr fontId="2"/>
  </si>
  <si>
    <t>育休</t>
    <rPh sb="0" eb="2">
      <t>イクキュウ</t>
    </rPh>
    <phoneticPr fontId="2"/>
  </si>
  <si>
    <t>時短</t>
    <rPh sb="0" eb="2">
      <t>ジタン</t>
    </rPh>
    <phoneticPr fontId="2"/>
  </si>
  <si>
    <t>年収</t>
    <rPh sb="0" eb="2">
      <t>ネンシュウ</t>
    </rPh>
    <phoneticPr fontId="2"/>
  </si>
  <si>
    <t>種類</t>
    <rPh sb="0" eb="2">
      <t>シュルイ</t>
    </rPh>
    <phoneticPr fontId="2"/>
  </si>
  <si>
    <t>歳から</t>
    <rPh sb="0" eb="1">
      <t>サイ</t>
    </rPh>
    <phoneticPr fontId="2"/>
  </si>
  <si>
    <t>歳まで</t>
    <rPh sb="0" eb="1">
      <t>サイ</t>
    </rPh>
    <phoneticPr fontId="2"/>
  </si>
  <si>
    <t>車2</t>
    <phoneticPr fontId="2"/>
  </si>
  <si>
    <t>雑収入</t>
    <rPh sb="0" eb="3">
      <t>ザツシュウニュウ</t>
    </rPh>
    <phoneticPr fontId="2"/>
  </si>
  <si>
    <t>投資</t>
    <rPh sb="0" eb="2">
      <t>トウシ</t>
    </rPh>
    <phoneticPr fontId="2"/>
  </si>
  <si>
    <t>現金</t>
    <rPh sb="0" eb="2">
      <t>ゲンキン</t>
    </rPh>
    <phoneticPr fontId="2"/>
  </si>
  <si>
    <t>貯金</t>
    <rPh sb="0" eb="2">
      <t>チョキン</t>
    </rPh>
    <phoneticPr fontId="2"/>
  </si>
  <si>
    <t>マンション</t>
  </si>
  <si>
    <t>退職金</t>
    <rPh sb="0" eb="3">
      <t>タイショクキン</t>
    </rPh>
    <phoneticPr fontId="2"/>
  </si>
  <si>
    <t>管理費(万円/月)</t>
    <rPh sb="0" eb="2">
      <t>カンリ</t>
    </rPh>
    <rPh sb="2" eb="3">
      <t>ヒ</t>
    </rPh>
    <rPh sb="4" eb="6">
      <t>マンエン</t>
    </rPh>
    <rPh sb="7" eb="8">
      <t>ツキ</t>
    </rPh>
    <phoneticPr fontId="2"/>
  </si>
  <si>
    <t>修繕費(万円/月)</t>
    <rPh sb="0" eb="3">
      <t>シュウゼンヒ</t>
    </rPh>
    <phoneticPr fontId="2"/>
  </si>
  <si>
    <t>駐車場(万円/月)</t>
    <rPh sb="0" eb="3">
      <t>チュウシャジョウ</t>
    </rPh>
    <phoneticPr fontId="2"/>
  </si>
  <si>
    <t>30～39歳</t>
    <rPh sb="5" eb="6">
      <t>サイ</t>
    </rPh>
    <phoneticPr fontId="3"/>
  </si>
  <si>
    <t>40～49歳</t>
    <rPh sb="5" eb="6">
      <t>サイ</t>
    </rPh>
    <phoneticPr fontId="3"/>
  </si>
  <si>
    <t>食料</t>
  </si>
  <si>
    <t>光熱・水道</t>
  </si>
  <si>
    <t>家具・家事用品</t>
  </si>
  <si>
    <t>被服及び履物</t>
  </si>
  <si>
    <t>保健医療</t>
  </si>
  <si>
    <t>交通・通信</t>
  </si>
  <si>
    <t>教育</t>
  </si>
  <si>
    <t>教養娯楽</t>
  </si>
  <si>
    <t>その他の消費支出</t>
  </si>
  <si>
    <t>２  人</t>
    <rPh sb="3" eb="4">
      <t>ニン</t>
    </rPh>
    <phoneticPr fontId="4"/>
  </si>
  <si>
    <t>３  人</t>
    <rPh sb="3" eb="4">
      <t>ニン</t>
    </rPh>
    <phoneticPr fontId="4"/>
  </si>
  <si>
    <t>４  人</t>
    <rPh sb="3" eb="4">
      <t>ニン</t>
    </rPh>
    <phoneticPr fontId="4"/>
  </si>
  <si>
    <t>５  人</t>
    <rPh sb="3" eb="4">
      <t>ニン</t>
    </rPh>
    <phoneticPr fontId="4"/>
  </si>
  <si>
    <t>3.9人</t>
    <rPh sb="3" eb="4">
      <t>ニン</t>
    </rPh>
    <phoneticPr fontId="2"/>
  </si>
  <si>
    <t>除く教養娯楽・住居</t>
    <rPh sb="0" eb="1">
      <t>ノゾ</t>
    </rPh>
    <rPh sb="2" eb="4">
      <t>キョウヨウ</t>
    </rPh>
    <rPh sb="4" eb="6">
      <t>ゴラク</t>
    </rPh>
    <rPh sb="7" eb="9">
      <t>ジュウキョ</t>
    </rPh>
    <phoneticPr fontId="2"/>
  </si>
  <si>
    <t>歳</t>
    <rPh sb="0" eb="1">
      <t>サイ</t>
    </rPh>
    <phoneticPr fontId="2"/>
  </si>
  <si>
    <t>退職金</t>
    <rPh sb="0" eb="3">
      <t>タイショクキン</t>
    </rPh>
    <phoneticPr fontId="2"/>
  </si>
  <si>
    <t>年金</t>
    <rPh sb="0" eb="2">
      <t>ネンキン</t>
    </rPh>
    <phoneticPr fontId="2"/>
  </si>
  <si>
    <t>保険/年</t>
    <rPh sb="0" eb="2">
      <t>ホケン</t>
    </rPh>
    <rPh sb="3" eb="4">
      <t>ネン</t>
    </rPh>
    <phoneticPr fontId="2"/>
  </si>
  <si>
    <t>車検/2年</t>
    <rPh sb="0" eb="2">
      <t>シャケン</t>
    </rPh>
    <rPh sb="4" eb="5">
      <t>ネン</t>
    </rPh>
    <phoneticPr fontId="2"/>
  </si>
  <si>
    <t>親1</t>
    <rPh sb="0" eb="1">
      <t>オヤ</t>
    </rPh>
    <phoneticPr fontId="2"/>
  </si>
  <si>
    <t>親2</t>
    <rPh sb="0" eb="1">
      <t>オヤ</t>
    </rPh>
    <phoneticPr fontId="2"/>
  </si>
  <si>
    <t>子1</t>
    <rPh sb="0" eb="1">
      <t>コ</t>
    </rPh>
    <phoneticPr fontId="2"/>
  </si>
  <si>
    <t>子2</t>
    <rPh sb="0" eb="1">
      <t>コ</t>
    </rPh>
    <phoneticPr fontId="2"/>
  </si>
  <si>
    <t>子4</t>
  </si>
  <si>
    <t>子3</t>
  </si>
  <si>
    <t>住居</t>
    <rPh sb="0" eb="2">
      <t>ジュウキョ</t>
    </rPh>
    <phoneticPr fontId="2"/>
  </si>
  <si>
    <t>車</t>
    <rPh sb="0" eb="1">
      <t>クルマ</t>
    </rPh>
    <phoneticPr fontId="2"/>
  </si>
  <si>
    <t>駐車場/月</t>
    <rPh sb="0" eb="3">
      <t>チュウシャジョウ</t>
    </rPh>
    <rPh sb="4" eb="5">
      <t>ツキ</t>
    </rPh>
    <phoneticPr fontId="2"/>
  </si>
  <si>
    <t>投資効果</t>
    <rPh sb="0" eb="4">
      <t>トウシコウカ</t>
    </rPh>
    <phoneticPr fontId="2"/>
  </si>
  <si>
    <t>以上</t>
    <rPh sb="0" eb="2">
      <t>イジョウ</t>
    </rPh>
    <phoneticPr fontId="2"/>
  </si>
  <si>
    <t>社会保険料</t>
    <rPh sb="0" eb="2">
      <t>シャカイ</t>
    </rPh>
    <rPh sb="2" eb="5">
      <t>ホケンリョウ</t>
    </rPh>
    <phoneticPr fontId="2"/>
  </si>
  <si>
    <t>所得</t>
    <rPh sb="0" eb="2">
      <t>ショトク</t>
    </rPh>
    <phoneticPr fontId="2"/>
  </si>
  <si>
    <t>所得控除</t>
  </si>
  <si>
    <t>給与所得</t>
    <rPh sb="0" eb="2">
      <t>キュウヨ</t>
    </rPh>
    <rPh sb="2" eb="4">
      <t>ショトク</t>
    </rPh>
    <phoneticPr fontId="2"/>
  </si>
  <si>
    <t>健康保険料</t>
    <rPh sb="0" eb="2">
      <t>ケンコウ</t>
    </rPh>
    <rPh sb="2" eb="5">
      <t>ホケンリョウ</t>
    </rPh>
    <phoneticPr fontId="2"/>
  </si>
  <si>
    <t>厚生年金料率</t>
    <rPh sb="0" eb="2">
      <t>コウセイ</t>
    </rPh>
    <rPh sb="2" eb="4">
      <t>ネンキン</t>
    </rPh>
    <rPh sb="4" eb="6">
      <t>リョウリツ</t>
    </rPh>
    <phoneticPr fontId="2"/>
  </si>
  <si>
    <t>雇用保険料率</t>
    <rPh sb="0" eb="2">
      <t>コヨウ</t>
    </rPh>
    <rPh sb="2" eb="5">
      <t>ホケンリョウ</t>
    </rPh>
    <rPh sb="5" eb="6">
      <t>リツ</t>
    </rPh>
    <phoneticPr fontId="2"/>
  </si>
  <si>
    <t>基礎控除</t>
    <rPh sb="0" eb="2">
      <t>キソ</t>
    </rPh>
    <rPh sb="2" eb="4">
      <t>コウジョ</t>
    </rPh>
    <phoneticPr fontId="2"/>
  </si>
  <si>
    <t>配偶者控除</t>
    <rPh sb="0" eb="3">
      <t>ハイグウシャ</t>
    </rPh>
    <rPh sb="3" eb="5">
      <t>コウジョ</t>
    </rPh>
    <phoneticPr fontId="2"/>
  </si>
  <si>
    <t>扶養控除</t>
    <rPh sb="0" eb="2">
      <t>フヨウ</t>
    </rPh>
    <rPh sb="2" eb="4">
      <t>コウジョ</t>
    </rPh>
    <phoneticPr fontId="2"/>
  </si>
  <si>
    <t>控除合計</t>
    <rPh sb="0" eb="2">
      <t>コウジョ</t>
    </rPh>
    <rPh sb="2" eb="4">
      <t>ゴウケイ</t>
    </rPh>
    <phoneticPr fontId="2"/>
  </si>
  <si>
    <t>控除後</t>
    <rPh sb="0" eb="2">
      <t>コウジョ</t>
    </rPh>
    <rPh sb="2" eb="3">
      <t>ゴ</t>
    </rPh>
    <phoneticPr fontId="2"/>
  </si>
  <si>
    <t>所得税</t>
    <rPh sb="0" eb="3">
      <t>ショトクゼイ</t>
    </rPh>
    <phoneticPr fontId="2"/>
  </si>
  <si>
    <t>住民税</t>
    <rPh sb="0" eb="3">
      <t>ジュウミンゼイ</t>
    </rPh>
    <phoneticPr fontId="2"/>
  </si>
  <si>
    <t>比率</t>
    <rPh sb="0" eb="2">
      <t>ヒリツ</t>
    </rPh>
    <phoneticPr fontId="2"/>
  </si>
  <si>
    <t>年収50万上がった場合の手取りの変化</t>
    <rPh sb="0" eb="2">
      <t>ネンシュウ</t>
    </rPh>
    <rPh sb="4" eb="5">
      <t>マン</t>
    </rPh>
    <rPh sb="5" eb="6">
      <t>ア</t>
    </rPh>
    <rPh sb="9" eb="11">
      <t>バアイ</t>
    </rPh>
    <rPh sb="12" eb="14">
      <t>テド</t>
    </rPh>
    <rPh sb="16" eb="18">
      <t>ヘンカ</t>
    </rPh>
    <phoneticPr fontId="2"/>
  </si>
  <si>
    <t>年収100万上がった場合の手取りの変化</t>
    <rPh sb="0" eb="2">
      <t>ネンシュウ</t>
    </rPh>
    <rPh sb="5" eb="6">
      <t>マン</t>
    </rPh>
    <rPh sb="6" eb="7">
      <t>ア</t>
    </rPh>
    <rPh sb="10" eb="12">
      <t>バアイ</t>
    </rPh>
    <rPh sb="13" eb="15">
      <t>テド</t>
    </rPh>
    <rPh sb="17" eb="19">
      <t>ヘンカ</t>
    </rPh>
    <phoneticPr fontId="2"/>
  </si>
  <si>
    <t>車維持費</t>
    <rPh sb="0" eb="4">
      <t>クルマイジヒ</t>
    </rPh>
    <phoneticPr fontId="2"/>
  </si>
  <si>
    <t>服費
日用品</t>
    <rPh sb="3" eb="6">
      <t>ニチヨウヒン</t>
    </rPh>
    <phoneticPr fontId="2"/>
  </si>
  <si>
    <t>保</t>
    <rPh sb="0" eb="1">
      <t>タモツ</t>
    </rPh>
    <phoneticPr fontId="2"/>
  </si>
  <si>
    <t>育</t>
    <rPh sb="0" eb="1">
      <t>イク</t>
    </rPh>
    <phoneticPr fontId="2"/>
  </si>
  <si>
    <t>小</t>
    <rPh sb="0" eb="1">
      <t>ショウ</t>
    </rPh>
    <phoneticPr fontId="2"/>
  </si>
  <si>
    <t>学</t>
    <rPh sb="0" eb="1">
      <t>ガク</t>
    </rPh>
    <phoneticPr fontId="2"/>
  </si>
  <si>
    <t>高</t>
    <rPh sb="0" eb="1">
      <t>コウ</t>
    </rPh>
    <phoneticPr fontId="2"/>
  </si>
  <si>
    <t>中</t>
    <rPh sb="0" eb="1">
      <t>チュウ</t>
    </rPh>
    <phoneticPr fontId="2"/>
  </si>
  <si>
    <t>校</t>
    <rPh sb="0" eb="1">
      <t>コウ</t>
    </rPh>
    <phoneticPr fontId="2"/>
  </si>
  <si>
    <t>大</t>
    <rPh sb="0" eb="1">
      <t>ダイ</t>
    </rPh>
    <phoneticPr fontId="2"/>
  </si>
  <si>
    <t>住居維持費
(含むローン控除)</t>
    <rPh sb="7" eb="8">
      <t>フク</t>
    </rPh>
    <rPh sb="12" eb="14">
      <t>コウジョ</t>
    </rPh>
    <phoneticPr fontId="2"/>
  </si>
  <si>
    <t>間隔</t>
    <rPh sb="0" eb="2">
      <t>カンカク</t>
    </rPh>
    <phoneticPr fontId="2"/>
  </si>
  <si>
    <t>年後から</t>
    <rPh sb="0" eb="2">
      <t>ネンゴ</t>
    </rPh>
    <phoneticPr fontId="2"/>
  </si>
  <si>
    <t>車</t>
    <rPh sb="0" eb="1">
      <t>クルマ</t>
    </rPh>
    <phoneticPr fontId="2"/>
  </si>
  <si>
    <t>中古価格(1年15％減)</t>
    <rPh sb="0" eb="4">
      <t>チュウコカカク</t>
    </rPh>
    <rPh sb="6" eb="7">
      <t>ネン</t>
    </rPh>
    <rPh sb="10" eb="11">
      <t>ゲン</t>
    </rPh>
    <phoneticPr fontId="2"/>
  </si>
  <si>
    <t>購入時</t>
    <rPh sb="0" eb="3">
      <t>コウニュウジ</t>
    </rPh>
    <phoneticPr fontId="2"/>
  </si>
  <si>
    <t>収入</t>
    <rPh sb="0" eb="2">
      <t>シュウニュウ</t>
    </rPh>
    <phoneticPr fontId="2"/>
  </si>
  <si>
    <t>衣食住</t>
    <rPh sb="0" eb="3">
      <t>イショクジュウ</t>
    </rPh>
    <phoneticPr fontId="2"/>
  </si>
  <si>
    <t>収支</t>
    <rPh sb="0" eb="2">
      <t>シュウシ</t>
    </rPh>
    <phoneticPr fontId="2"/>
  </si>
  <si>
    <t>合計</t>
    <rPh sb="0" eb="2">
      <t>ゴウケイ</t>
    </rPh>
    <phoneticPr fontId="2"/>
  </si>
  <si>
    <t>支出2  固定費,教育</t>
    <rPh sb="9" eb="11">
      <t>キョウイク</t>
    </rPh>
    <phoneticPr fontId="2"/>
  </si>
  <si>
    <t>固定+教育</t>
    <rPh sb="0" eb="2">
      <t>コテイ</t>
    </rPh>
    <rPh sb="3" eb="5">
      <t>キョウイク</t>
    </rPh>
    <phoneticPr fontId="2"/>
  </si>
  <si>
    <t>お小遣い等</t>
    <rPh sb="1" eb="3">
      <t>コヅカ</t>
    </rPh>
    <rPh sb="4" eb="5">
      <t>トウ</t>
    </rPh>
    <phoneticPr fontId="2"/>
  </si>
  <si>
    <t>塾・仕送り</t>
    <rPh sb="0" eb="1">
      <t>ジュク</t>
    </rPh>
    <rPh sb="2" eb="4">
      <t>シオク</t>
    </rPh>
    <phoneticPr fontId="2"/>
  </si>
  <si>
    <t>親1の変動費</t>
    <rPh sb="0" eb="1">
      <t>オヤ</t>
    </rPh>
    <rPh sb="3" eb="6">
      <t>ヘンドウヒ</t>
    </rPh>
    <phoneticPr fontId="2"/>
  </si>
  <si>
    <t>お小遣い</t>
    <rPh sb="1" eb="3">
      <t>コヅカ</t>
    </rPh>
    <phoneticPr fontId="2"/>
  </si>
  <si>
    <t>住宅ローン残</t>
    <rPh sb="0" eb="2">
      <t>ジュウタク</t>
    </rPh>
    <rPh sb="5" eb="6">
      <t>ザン</t>
    </rPh>
    <phoneticPr fontId="2"/>
  </si>
  <si>
    <t>試算</t>
    <rPh sb="0" eb="2">
      <t>シサン</t>
    </rPh>
    <phoneticPr fontId="2"/>
  </si>
  <si>
    <t>投資する場合</t>
    <rPh sb="0" eb="2">
      <t>トウシ</t>
    </rPh>
    <rPh sb="4" eb="6">
      <t>バアイ</t>
    </rPh>
    <phoneticPr fontId="2"/>
  </si>
  <si>
    <t>投資割合</t>
    <rPh sb="0" eb="4">
      <t>トウシワリアイ</t>
    </rPh>
    <phoneticPr fontId="2"/>
  </si>
  <si>
    <t>想定利率</t>
    <rPh sb="0" eb="4">
      <t>ソウテイリリツ</t>
    </rPh>
    <phoneticPr fontId="2"/>
  </si>
  <si>
    <t>住宅ローン控除</t>
    <rPh sb="0" eb="2">
      <t>ジュウタク</t>
    </rPh>
    <rPh sb="5" eb="7">
      <t>コウジョ</t>
    </rPh>
    <phoneticPr fontId="2"/>
  </si>
  <si>
    <t>減価償却</t>
    <rPh sb="0" eb="4">
      <t>ゲンカショウキャク</t>
    </rPh>
    <phoneticPr fontId="2"/>
  </si>
  <si>
    <t>年収</t>
    <rPh sb="0" eb="2">
      <t>ネンシュウ</t>
    </rPh>
    <phoneticPr fontId="2"/>
  </si>
  <si>
    <t>計算用</t>
    <rPh sb="0" eb="3">
      <t>ケイサンヨウ</t>
    </rPh>
    <phoneticPr fontId="2"/>
  </si>
  <si>
    <t>計算結果</t>
    <rPh sb="0" eb="4">
      <t>ケイサンケッカ</t>
    </rPh>
    <phoneticPr fontId="2"/>
  </si>
  <si>
    <t>元の資産</t>
    <rPh sb="0" eb="1">
      <t>モト</t>
    </rPh>
    <rPh sb="2" eb="4">
      <t>シサン</t>
    </rPh>
    <phoneticPr fontId="2"/>
  </si>
  <si>
    <t>車にINPUT</t>
    <rPh sb="0" eb="1">
      <t>クルマ</t>
    </rPh>
    <phoneticPr fontId="2"/>
  </si>
  <si>
    <t>住居(万円/月)</t>
    <rPh sb="0" eb="2">
      <t>ジュウキョ</t>
    </rPh>
    <rPh sb="3" eb="5">
      <t>マンエン</t>
    </rPh>
    <rPh sb="6" eb="7">
      <t>ツキ</t>
    </rPh>
    <phoneticPr fontId="2"/>
  </si>
  <si>
    <t>歳～</t>
    <rPh sb="0" eb="1">
      <t>サイ</t>
    </rPh>
    <phoneticPr fontId="2"/>
  </si>
  <si>
    <t>親の情報</t>
    <rPh sb="0" eb="1">
      <t>オヤ</t>
    </rPh>
    <rPh sb="2" eb="4">
      <t>ジョウホウ</t>
    </rPh>
    <phoneticPr fontId="2"/>
  </si>
  <si>
    <t>子供の情報</t>
    <rPh sb="0" eb="2">
      <t>コドモ</t>
    </rPh>
    <rPh sb="3" eb="5">
      <t>ジョウホウ</t>
    </rPh>
    <phoneticPr fontId="2"/>
  </si>
  <si>
    <t>家の情報</t>
    <rPh sb="0" eb="1">
      <t>イエ</t>
    </rPh>
    <rPh sb="2" eb="4">
      <t>ジョウホウ</t>
    </rPh>
    <phoneticPr fontId="2"/>
  </si>
  <si>
    <t>&lt;賃貸の場合&gt;</t>
    <phoneticPr fontId="2"/>
  </si>
  <si>
    <t>←含む</t>
    <rPh sb="1" eb="2">
      <t>フク</t>
    </rPh>
    <phoneticPr fontId="2"/>
  </si>
  <si>
    <t>?</t>
    <phoneticPr fontId="2"/>
  </si>
  <si>
    <t>計算機</t>
    <rPh sb="0" eb="3">
      <t>ケイサンキ</t>
    </rPh>
    <phoneticPr fontId="2"/>
  </si>
  <si>
    <t>額面から計算</t>
    <rPh sb="0" eb="2">
      <t>ガクメン</t>
    </rPh>
    <rPh sb="4" eb="6">
      <t>ケイサン</t>
    </rPh>
    <phoneticPr fontId="2"/>
  </si>
  <si>
    <t>項目</t>
    <rPh sb="0" eb="2">
      <t>コウモク</t>
    </rPh>
    <phoneticPr fontId="2"/>
  </si>
  <si>
    <t>年齢区分</t>
    <rPh sb="0" eb="4">
      <t>ネンレイクブン</t>
    </rPh>
    <phoneticPr fontId="2"/>
  </si>
  <si>
    <t>総所得</t>
    <rPh sb="0" eb="3">
      <t>ソウショトク</t>
    </rPh>
    <phoneticPr fontId="2"/>
  </si>
  <si>
    <t>給与所得者等区分</t>
    <rPh sb="0" eb="8">
      <t>キュウヨショトクシャトウクブン</t>
    </rPh>
    <phoneticPr fontId="2"/>
  </si>
  <si>
    <t>加入者(64以下)</t>
    <rPh sb="0" eb="3">
      <t>カニュウシャ</t>
    </rPh>
    <rPh sb="6" eb="8">
      <t>イカ</t>
    </rPh>
    <phoneticPr fontId="2"/>
  </si>
  <si>
    <t>加入者(65以上)</t>
    <rPh sb="0" eb="3">
      <t>カニュウシャ</t>
    </rPh>
    <rPh sb="6" eb="8">
      <t>イジョウ</t>
    </rPh>
    <phoneticPr fontId="2"/>
  </si>
  <si>
    <t>額面(万円)</t>
    <rPh sb="0" eb="2">
      <t>ガクメン</t>
    </rPh>
    <rPh sb="3" eb="5">
      <t>マンエン</t>
    </rPh>
    <phoneticPr fontId="2"/>
  </si>
  <si>
    <t>控除割合</t>
    <rPh sb="0" eb="2">
      <t>コウジョ</t>
    </rPh>
    <rPh sb="2" eb="4">
      <t>ワリアイ</t>
    </rPh>
    <phoneticPr fontId="2"/>
  </si>
  <si>
    <t>控除絶対値</t>
    <rPh sb="0" eb="2">
      <t>コウジョ</t>
    </rPh>
    <rPh sb="2" eb="5">
      <t>ゼッタイアタイ</t>
    </rPh>
    <phoneticPr fontId="2"/>
  </si>
  <si>
    <t>控除額</t>
    <rPh sb="0" eb="3">
      <t>コウジョガク</t>
    </rPh>
    <phoneticPr fontId="2"/>
  </si>
  <si>
    <t>65歳～74歳まで</t>
    <rPh sb="2" eb="3">
      <t>サイ</t>
    </rPh>
    <rPh sb="6" eb="7">
      <t>サイ</t>
    </rPh>
    <phoneticPr fontId="2"/>
  </si>
  <si>
    <t>40歳~64歳まで</t>
    <rPh sb="2" eb="3">
      <t>サイ</t>
    </rPh>
    <rPh sb="6" eb="7">
      <t>サイ</t>
    </rPh>
    <phoneticPr fontId="2"/>
  </si>
  <si>
    <t>加入しない</t>
    <rPh sb="0" eb="2">
      <t>カニュウ</t>
    </rPh>
    <phoneticPr fontId="2"/>
  </si>
  <si>
    <t>平均割り</t>
    <rPh sb="0" eb="3">
      <t>ヘイキンワ</t>
    </rPh>
    <phoneticPr fontId="2"/>
  </si>
  <si>
    <t>均等割り</t>
    <rPh sb="0" eb="3">
      <t>キントウワ</t>
    </rPh>
    <phoneticPr fontId="2"/>
  </si>
  <si>
    <t>所得割</t>
    <rPh sb="0" eb="3">
      <t>ショトクワリ</t>
    </rPh>
    <phoneticPr fontId="2"/>
  </si>
  <si>
    <t>合計(年)</t>
    <rPh sb="0" eb="2">
      <t>ゴウケイ</t>
    </rPh>
    <rPh sb="3" eb="4">
      <t>ネン</t>
    </rPh>
    <phoneticPr fontId="2"/>
  </si>
  <si>
    <t>医療費分保険料</t>
    <rPh sb="0" eb="7">
      <t>イリョウヒブンホケンリョウ</t>
    </rPh>
    <phoneticPr fontId="2"/>
  </si>
  <si>
    <t>リスト</t>
    <phoneticPr fontId="2"/>
  </si>
  <si>
    <t>後期高齢者支援金分保険料</t>
    <rPh sb="0" eb="12">
      <t>コウキコウレイシャシエンキンブンホケンリョウ</t>
    </rPh>
    <phoneticPr fontId="2"/>
  </si>
  <si>
    <t>介護保険料</t>
    <rPh sb="0" eb="5">
      <t>カイゴホケンリョウ</t>
    </rPh>
    <phoneticPr fontId="2"/>
  </si>
  <si>
    <t>39歳まで</t>
    <rPh sb="2" eb="3">
      <t>サイ</t>
    </rPh>
    <phoneticPr fontId="2"/>
  </si>
  <si>
    <t>保険料</t>
    <rPh sb="0" eb="3">
      <t>ホケンリョウ</t>
    </rPh>
    <phoneticPr fontId="2"/>
  </si>
  <si>
    <t>大阪</t>
    <rPh sb="0" eb="2">
      <t>オオサカ</t>
    </rPh>
    <phoneticPr fontId="2"/>
  </si>
  <si>
    <t>所得税</t>
    <rPh sb="0" eb="3">
      <t>ショトクゼイ</t>
    </rPh>
    <phoneticPr fontId="2"/>
  </si>
  <si>
    <t>合計</t>
    <rPh sb="0" eb="2">
      <t>ゴウケイ</t>
    </rPh>
    <phoneticPr fontId="2"/>
  </si>
  <si>
    <t>歳まで</t>
    <rPh sb="0" eb="1">
      <t>サイ</t>
    </rPh>
    <phoneticPr fontId="2"/>
  </si>
  <si>
    <t>洗濯機</t>
    <rPh sb="0" eb="3">
      <t>センタクキ</t>
    </rPh>
    <phoneticPr fontId="2"/>
  </si>
  <si>
    <t>エアコン</t>
    <phoneticPr fontId="2"/>
  </si>
  <si>
    <t>冷蔵庫</t>
    <rPh sb="0" eb="3">
      <t>レイゾウコ</t>
    </rPh>
    <phoneticPr fontId="2"/>
  </si>
  <si>
    <t>トイレ</t>
  </si>
  <si>
    <t>車、大物家電、リフォーム等</t>
    <rPh sb="0" eb="1">
      <t>クルマ</t>
    </rPh>
    <rPh sb="2" eb="6">
      <t>オオモノカデン</t>
    </rPh>
    <rPh sb="12" eb="13">
      <t>トウ</t>
    </rPh>
    <phoneticPr fontId="2"/>
  </si>
  <si>
    <t>ベランダ</t>
  </si>
  <si>
    <t>金額</t>
    <rPh sb="0" eb="2">
      <t>キンガク</t>
    </rPh>
    <phoneticPr fontId="2"/>
  </si>
  <si>
    <t>壁紙・内壁</t>
    <rPh sb="0" eb="2">
      <t>カベガミ</t>
    </rPh>
    <rPh sb="3" eb="5">
      <t>ナイヘキ</t>
    </rPh>
    <phoneticPr fontId="2"/>
  </si>
  <si>
    <t>キッチン</t>
    <phoneticPr fontId="2"/>
  </si>
  <si>
    <t>給湯器</t>
    <rPh sb="0" eb="3">
      <t>キュウトウキ</t>
    </rPh>
    <phoneticPr fontId="2"/>
  </si>
  <si>
    <t>お風呂</t>
    <rPh sb="1" eb="3">
      <t>フロ</t>
    </rPh>
    <phoneticPr fontId="2"/>
  </si>
  <si>
    <t>予備</t>
    <rPh sb="0" eb="2">
      <t>ヨビ</t>
    </rPh>
    <phoneticPr fontId="2"/>
  </si>
  <si>
    <t>掃除機</t>
    <rPh sb="0" eb="3">
      <t>ソウジキ</t>
    </rPh>
    <phoneticPr fontId="2"/>
  </si>
  <si>
    <t>リフォーム</t>
    <phoneticPr fontId="2"/>
  </si>
  <si>
    <t>※1戸建ての外壁など、</t>
    <rPh sb="2" eb="4">
      <t>コダ</t>
    </rPh>
    <rPh sb="6" eb="8">
      <t>ガイヘキ</t>
    </rPh>
    <phoneticPr fontId="2"/>
  </si>
  <si>
    <t>　最低限行う必要のあるものは、</t>
    <rPh sb="1" eb="4">
      <t>サイテイゲン</t>
    </rPh>
    <rPh sb="4" eb="5">
      <t>オコナ</t>
    </rPh>
    <rPh sb="6" eb="8">
      <t>ヒツヨウ</t>
    </rPh>
    <phoneticPr fontId="2"/>
  </si>
  <si>
    <t>　住居維持費に含めています。</t>
    <rPh sb="1" eb="6">
      <t>ジュウキョイジヒ</t>
    </rPh>
    <rPh sb="7" eb="8">
      <t>フク</t>
    </rPh>
    <phoneticPr fontId="2"/>
  </si>
  <si>
    <t>大物家電</t>
    <rPh sb="0" eb="4">
      <t>オオモノカデン</t>
    </rPh>
    <phoneticPr fontId="2"/>
  </si>
  <si>
    <t>リフォーム</t>
    <phoneticPr fontId="2"/>
  </si>
  <si>
    <t>※賃貸に住み続ける人は100を。</t>
    <rPh sb="1" eb="3">
      <t>チンタイ</t>
    </rPh>
    <rPh sb="4" eb="5">
      <t>ス</t>
    </rPh>
    <rPh sb="6" eb="7">
      <t>ツヅ</t>
    </rPh>
    <rPh sb="9" eb="10">
      <t>ヒト</t>
    </rPh>
    <phoneticPr fontId="2"/>
  </si>
  <si>
    <t>住宅ローン控除</t>
    <rPh sb="0" eb="2">
      <t>ジュウタク</t>
    </rPh>
    <rPh sb="5" eb="7">
      <t>コウジョ</t>
    </rPh>
    <phoneticPr fontId="2"/>
  </si>
  <si>
    <t>親2の変動費</t>
    <rPh sb="0" eb="1">
      <t>オヤ</t>
    </rPh>
    <rPh sb="3" eb="6">
      <t>ヘンドウヒ</t>
    </rPh>
    <phoneticPr fontId="2"/>
  </si>
  <si>
    <t>子の変動費</t>
    <rPh sb="0" eb="1">
      <t>コ</t>
    </rPh>
    <rPh sb="2" eb="5">
      <t>ヘンドウヒ</t>
    </rPh>
    <phoneticPr fontId="2"/>
  </si>
  <si>
    <t>※↑無しなら空白でお願い致します。</t>
    <rPh sb="2" eb="3">
      <t>ナ</t>
    </rPh>
    <rPh sb="6" eb="8">
      <t>クウハク</t>
    </rPh>
    <rPh sb="10" eb="11">
      <t>ネガ</t>
    </rPh>
    <rPh sb="12" eb="13">
      <t>イタ</t>
    </rPh>
    <phoneticPr fontId="2"/>
  </si>
  <si>
    <t>&lt;参考＞標準の管理費修繕費</t>
    <rPh sb="7" eb="10">
      <t>カンリヒ</t>
    </rPh>
    <rPh sb="10" eb="13">
      <t>シュウゼンヒ</t>
    </rPh>
    <phoneticPr fontId="2"/>
  </si>
  <si>
    <t>減</t>
    <rPh sb="0" eb="1">
      <t>ゲン</t>
    </rPh>
    <phoneticPr fontId="2"/>
  </si>
  <si>
    <t>お小遣い(/月)</t>
    <rPh sb="1" eb="3">
      <t>コヅカ</t>
    </rPh>
    <rPh sb="6" eb="7">
      <t>ツキ</t>
    </rPh>
    <phoneticPr fontId="2"/>
  </si>
  <si>
    <t>食費などの負担(歳まで)</t>
    <rPh sb="0" eb="2">
      <t>ショクヒ</t>
    </rPh>
    <rPh sb="5" eb="7">
      <t>フタン</t>
    </rPh>
    <rPh sb="8" eb="9">
      <t>サイ</t>
    </rPh>
    <phoneticPr fontId="2"/>
  </si>
  <si>
    <t>シミュレーション　収入</t>
  </si>
  <si>
    <t>世帯年収</t>
  </si>
  <si>
    <t>保育料</t>
  </si>
  <si>
    <t>月額</t>
  </si>
  <si>
    <t>年額</t>
  </si>
  <si>
    <t>3年間</t>
  </si>
  <si>
    <t>保育園</t>
    <rPh sb="0" eb="3">
      <t>ホイクエン</t>
    </rPh>
    <phoneticPr fontId="2"/>
  </si>
  <si>
    <t>項目</t>
  </si>
  <si>
    <t>第1学年</t>
  </si>
  <si>
    <t>第2学年</t>
  </si>
  <si>
    <t>第3学年</t>
  </si>
  <si>
    <t>第4学年</t>
  </si>
  <si>
    <t>第5学年</t>
  </si>
  <si>
    <t>第6学年</t>
  </si>
  <si>
    <t>合計</t>
  </si>
  <si>
    <t>①学校教育費</t>
  </si>
  <si>
    <t>　授業料</t>
  </si>
  <si>
    <t>…</t>
  </si>
  <si>
    <t>　修学旅行・遠足・見学費</t>
  </si>
  <si>
    <t>　学級・児童会・生徒会費</t>
  </si>
  <si>
    <t>　PTA会費</t>
  </si>
  <si>
    <t>　その他の学校納付金</t>
  </si>
  <si>
    <t>　寄附金</t>
  </si>
  <si>
    <t>　教科書費・教科書以外の図書費</t>
  </si>
  <si>
    <t>　学用品・実験実習材料費</t>
  </si>
  <si>
    <t>　教科外活動費</t>
  </si>
  <si>
    <t>　通学費</t>
  </si>
  <si>
    <t>　制服</t>
  </si>
  <si>
    <t>　通学用品費</t>
  </si>
  <si>
    <t>　その他</t>
  </si>
  <si>
    <t>②学校給食費</t>
  </si>
  <si>
    <t>③合計　(①+②)</t>
  </si>
  <si>
    <t>月額に直すと、下記の通りで、0.7万円～1万円程度と考えておけば足りると思います。</t>
  </si>
  <si>
    <t>学年別</t>
  </si>
  <si>
    <t>　合計</t>
  </si>
  <si>
    <t>1年</t>
  </si>
  <si>
    <t>2年</t>
  </si>
  <si>
    <t>3年</t>
  </si>
  <si>
    <t>　修学旅行・見学費</t>
  </si>
  <si>
    <t>　学級・生徒会費</t>
  </si>
  <si>
    <t>　学用品・実験材料費</t>
  </si>
  <si>
    <t>高校</t>
  </si>
  <si>
    <t>行かない</t>
    <rPh sb="0" eb="1">
      <t>イ</t>
    </rPh>
    <phoneticPr fontId="2"/>
  </si>
  <si>
    <t>3~5</t>
    <phoneticPr fontId="2"/>
  </si>
  <si>
    <t>0~2</t>
    <phoneticPr fontId="2"/>
  </si>
  <si>
    <t>年収で決まる。</t>
    <rPh sb="0" eb="2">
      <t>ネンシュウ</t>
    </rPh>
    <rPh sb="3" eb="4">
      <t>キ</t>
    </rPh>
    <phoneticPr fontId="2"/>
  </si>
  <si>
    <t>3歳</t>
  </si>
  <si>
    <t>4歳</t>
  </si>
  <si>
    <t>5歳</t>
  </si>
  <si>
    <t>学</t>
    <phoneticPr fontId="2"/>
  </si>
  <si>
    <t>院</t>
  </si>
  <si>
    <t>仕送り(/月)</t>
    <rPh sb="0" eb="2">
      <t>シオク</t>
    </rPh>
    <rPh sb="5" eb="6">
      <t>ツキ</t>
    </rPh>
    <phoneticPr fontId="2"/>
  </si>
  <si>
    <t>子4</t>
    <rPh sb="0" eb="1">
      <t>コ</t>
    </rPh>
    <phoneticPr fontId="2"/>
  </si>
  <si>
    <t>子3</t>
    <rPh sb="0" eb="1">
      <t>コ</t>
    </rPh>
    <phoneticPr fontId="2"/>
  </si>
  <si>
    <t>https://nujonoa.com/summary-of-tuition-fees/</t>
  </si>
  <si>
    <t>現在の支出金額</t>
    <rPh sb="0" eb="2">
      <t>ゲンザイ</t>
    </rPh>
    <rPh sb="3" eb="5">
      <t>シシュツ</t>
    </rPh>
    <rPh sb="5" eb="7">
      <t>キンガク</t>
    </rPh>
    <phoneticPr fontId="2"/>
  </si>
  <si>
    <t>※大学の仕送りを入れるとストップされます。</t>
    <rPh sb="1" eb="3">
      <t>ダイガク</t>
    </rPh>
    <rPh sb="4" eb="6">
      <t>シオク</t>
    </rPh>
    <rPh sb="8" eb="9">
      <t>イ</t>
    </rPh>
    <phoneticPr fontId="2"/>
  </si>
  <si>
    <t>子供の計算</t>
    <rPh sb="0" eb="2">
      <t>コドモ</t>
    </rPh>
    <rPh sb="3" eb="5">
      <t>ケイサン</t>
    </rPh>
    <phoneticPr fontId="2"/>
  </si>
  <si>
    <t>合計</t>
    <rPh sb="0" eb="2">
      <t>ゴウケイ</t>
    </rPh>
    <phoneticPr fontId="2"/>
  </si>
  <si>
    <t>子1</t>
    <rPh sb="0" eb="1">
      <t>コ</t>
    </rPh>
    <phoneticPr fontId="2"/>
  </si>
  <si>
    <t>子2</t>
    <rPh sb="0" eb="1">
      <t>コ</t>
    </rPh>
    <phoneticPr fontId="2"/>
  </si>
  <si>
    <t>子3</t>
    <rPh sb="0" eb="1">
      <t>コ</t>
    </rPh>
    <phoneticPr fontId="2"/>
  </si>
  <si>
    <t>子4</t>
    <rPh sb="0" eb="1">
      <t>コ</t>
    </rPh>
    <phoneticPr fontId="2"/>
  </si>
  <si>
    <t>小計</t>
    <rPh sb="0" eb="2">
      <t>ショウケイ</t>
    </rPh>
    <phoneticPr fontId="2"/>
  </si>
  <si>
    <t>親1</t>
    <rPh sb="0" eb="1">
      <t>オヤ</t>
    </rPh>
    <phoneticPr fontId="2"/>
  </si>
  <si>
    <t>親2</t>
    <rPh sb="0" eb="1">
      <t>オヤ</t>
    </rPh>
    <phoneticPr fontId="2"/>
  </si>
  <si>
    <t>仕送り</t>
    <rPh sb="0" eb="2">
      <t>シオク</t>
    </rPh>
    <phoneticPr fontId="2"/>
  </si>
  <si>
    <t>仕送り</t>
    <phoneticPr fontId="2"/>
  </si>
  <si>
    <t>仕送り</t>
    <phoneticPr fontId="2"/>
  </si>
  <si>
    <t>親の計算</t>
    <rPh sb="0" eb="1">
      <t>オヤ</t>
    </rPh>
    <rPh sb="2" eb="4">
      <t>ケイサン</t>
    </rPh>
    <phoneticPr fontId="2"/>
  </si>
  <si>
    <t>収入</t>
    <rPh sb="0" eb="2">
      <t>シュウニュウ</t>
    </rPh>
    <phoneticPr fontId="2"/>
  </si>
  <si>
    <t>インターネット</t>
    <phoneticPr fontId="2"/>
  </si>
  <si>
    <t>携帯</t>
    <rPh sb="0" eb="2">
      <t>ケイタイ</t>
    </rPh>
    <phoneticPr fontId="2"/>
  </si>
  <si>
    <t>限界利益</t>
    <rPh sb="0" eb="4">
      <t>ゲンカイリエキ</t>
    </rPh>
    <phoneticPr fontId="2"/>
  </si>
  <si>
    <t>子供案分</t>
    <rPh sb="0" eb="4">
      <t>コドモアンブン</t>
    </rPh>
    <phoneticPr fontId="2"/>
  </si>
  <si>
    <t>住居案分</t>
    <rPh sb="0" eb="4">
      <t>ジュウキョアンブン</t>
    </rPh>
    <phoneticPr fontId="2"/>
  </si>
  <si>
    <t>車</t>
    <rPh sb="0" eb="1">
      <t>クルマ</t>
    </rPh>
    <phoneticPr fontId="2"/>
  </si>
  <si>
    <t>家電、リフォーム</t>
    <rPh sb="0" eb="2">
      <t>カデン</t>
    </rPh>
    <phoneticPr fontId="2"/>
  </si>
  <si>
    <t>固定費合計</t>
    <rPh sb="0" eb="3">
      <t>コテイヒ</t>
    </rPh>
    <rPh sb="3" eb="5">
      <t>ゴウケイ</t>
    </rPh>
    <phoneticPr fontId="2"/>
  </si>
  <si>
    <t>収支</t>
    <rPh sb="0" eb="2">
      <t>シュウシ</t>
    </rPh>
    <phoneticPr fontId="2"/>
  </si>
  <si>
    <t>元の財産</t>
    <rPh sb="0" eb="1">
      <t>モト</t>
    </rPh>
    <rPh sb="2" eb="4">
      <t>ザイサン</t>
    </rPh>
    <phoneticPr fontId="2"/>
  </si>
  <si>
    <t>資産</t>
    <rPh sb="0" eb="2">
      <t>シサン</t>
    </rPh>
    <phoneticPr fontId="2"/>
  </si>
  <si>
    <t>住居代</t>
    <rPh sb="0" eb="2">
      <t>ジュウキョ</t>
    </rPh>
    <rPh sb="2" eb="3">
      <t>ダイ</t>
    </rPh>
    <phoneticPr fontId="2"/>
  </si>
  <si>
    <t>住居維持費</t>
    <rPh sb="0" eb="5">
      <t>ジュウキョイジヒ</t>
    </rPh>
    <phoneticPr fontId="2"/>
  </si>
  <si>
    <t>リフォーム</t>
    <phoneticPr fontId="2"/>
  </si>
  <si>
    <t>80歳時</t>
    <rPh sb="2" eb="4">
      <t>サイジ</t>
    </rPh>
    <phoneticPr fontId="2"/>
  </si>
  <si>
    <t>残りのローン</t>
    <rPh sb="0" eb="1">
      <t>ノコ</t>
    </rPh>
    <phoneticPr fontId="2"/>
  </si>
  <si>
    <t>住居代の計算</t>
    <rPh sb="0" eb="3">
      <t>ジュウキョダイ</t>
    </rPh>
    <rPh sb="4" eb="6">
      <t>ケイサン</t>
    </rPh>
    <phoneticPr fontId="2"/>
  </si>
  <si>
    <t>車1</t>
    <rPh sb="0" eb="1">
      <t>クルマ</t>
    </rPh>
    <phoneticPr fontId="2"/>
  </si>
  <si>
    <t>車2</t>
    <rPh sb="0" eb="1">
      <t>クルマ</t>
    </rPh>
    <phoneticPr fontId="2"/>
  </si>
  <si>
    <t>車維持費</t>
    <rPh sb="0" eb="1">
      <t>クルマ</t>
    </rPh>
    <rPh sb="1" eb="4">
      <t>イジヒ</t>
    </rPh>
    <phoneticPr fontId="2"/>
  </si>
  <si>
    <t>65~80歳</t>
    <rPh sb="5" eb="6">
      <t>サイ</t>
    </rPh>
    <phoneticPr fontId="2"/>
  </si>
  <si>
    <t>車の計算</t>
    <rPh sb="0" eb="1">
      <t>クルマ</t>
    </rPh>
    <rPh sb="2" eb="4">
      <t>ケイサン</t>
    </rPh>
    <phoneticPr fontId="2"/>
  </si>
  <si>
    <t>大物家電</t>
    <rPh sb="0" eb="4">
      <t>オオモノカデン</t>
    </rPh>
    <phoneticPr fontId="2"/>
  </si>
  <si>
    <t>リフォーム</t>
    <phoneticPr fontId="2"/>
  </si>
  <si>
    <t>大物家電、リフォーム</t>
    <rPh sb="0" eb="4">
      <t>オオモノカデン</t>
    </rPh>
    <phoneticPr fontId="2"/>
  </si>
  <si>
    <t>携帯</t>
    <phoneticPr fontId="2"/>
  </si>
  <si>
    <t>インターネット</t>
    <phoneticPr fontId="2"/>
  </si>
  <si>
    <t>支出</t>
    <rPh sb="0" eb="2">
      <t>シシュツ</t>
    </rPh>
    <phoneticPr fontId="2"/>
  </si>
  <si>
    <t>位・食・住　合計</t>
    <rPh sb="0" eb="1">
      <t>イ</t>
    </rPh>
    <rPh sb="2" eb="3">
      <t>ショク</t>
    </rPh>
    <rPh sb="4" eb="5">
      <t>ジュウ</t>
    </rPh>
    <rPh sb="6" eb="8">
      <t>ゴウケイ</t>
    </rPh>
    <phoneticPr fontId="2"/>
  </si>
  <si>
    <t>固定費　合計</t>
    <rPh sb="0" eb="3">
      <t>コテイヒ</t>
    </rPh>
    <rPh sb="4" eb="6">
      <t>ゴウケイ</t>
    </rPh>
    <phoneticPr fontId="2"/>
  </si>
  <si>
    <t>※金額は平均値を入力しています。</t>
    <rPh sb="1" eb="3">
      <t>キンガク</t>
    </rPh>
    <rPh sb="4" eb="7">
      <t>ヘイキンアタイ</t>
    </rPh>
    <rPh sb="8" eb="10">
      <t>ニュウリョク</t>
    </rPh>
    <phoneticPr fontId="2"/>
  </si>
  <si>
    <t>その年齢時点の</t>
    <rPh sb="2" eb="6">
      <t>ネンレイジテン</t>
    </rPh>
    <phoneticPr fontId="2"/>
  </si>
  <si>
    <t>計算ができます。</t>
    <rPh sb="0" eb="2">
      <t>ケイサン</t>
    </rPh>
    <phoneticPr fontId="2"/>
  </si>
  <si>
    <t>↑年齢を入力すると</t>
    <rPh sb="1" eb="3">
      <t>ネンレイ</t>
    </rPh>
    <rPh sb="4" eb="6">
      <t>ニュウリョク</t>
    </rPh>
    <phoneticPr fontId="2"/>
  </si>
  <si>
    <t>衣食住</t>
    <rPh sb="0" eb="3">
      <t>イショクジュウ</t>
    </rPh>
    <phoneticPr fontId="2"/>
  </si>
  <si>
    <t>学費等</t>
    <rPh sb="0" eb="3">
      <t>ガクヒトウ</t>
    </rPh>
    <phoneticPr fontId="2"/>
  </si>
  <si>
    <t>おこづかい</t>
    <phoneticPr fontId="2"/>
  </si>
  <si>
    <t>80歳時の暮らし(年間)</t>
    <rPh sb="2" eb="4">
      <t>サイジ</t>
    </rPh>
    <rPh sb="5" eb="6">
      <t>ク</t>
    </rPh>
    <rPh sb="9" eb="11">
      <t>ネンカン</t>
    </rPh>
    <phoneticPr fontId="2"/>
  </si>
  <si>
    <t>80歳時の単年度収支</t>
    <rPh sb="2" eb="4">
      <t>サイジ</t>
    </rPh>
    <rPh sb="5" eb="8">
      <t>タンネンド</t>
    </rPh>
    <rPh sb="8" eb="10">
      <t>シュウシ</t>
    </rPh>
    <phoneticPr fontId="2"/>
  </si>
  <si>
    <t>退職金</t>
    <rPh sb="0" eb="3">
      <t>タイショクキン</t>
    </rPh>
    <phoneticPr fontId="2"/>
  </si>
  <si>
    <t>　収入</t>
    <phoneticPr fontId="2"/>
  </si>
  <si>
    <t>シミュレーション</t>
  </si>
  <si>
    <t>歳から</t>
    <rPh sb="0" eb="1">
      <t>サイ</t>
    </rPh>
    <phoneticPr fontId="2"/>
  </si>
  <si>
    <t>投資をした場合</t>
    <rPh sb="0" eb="2">
      <t>トウシ</t>
    </rPh>
    <rPh sb="5" eb="7">
      <t>バアイ</t>
    </rPh>
    <phoneticPr fontId="2"/>
  </si>
  <si>
    <t>扶養親族等の数</t>
  </si>
  <si>
    <t>所得制限限度額（万円）</t>
  </si>
  <si>
    <t>収入額の目安（万円）</t>
  </si>
  <si>
    <t>0人</t>
  </si>
  <si>
    <t>（前年末に児童が生まれていない場合　等）</t>
  </si>
  <si>
    <t>1人</t>
  </si>
  <si>
    <t>（児童１人の場合　等）</t>
  </si>
  <si>
    <t>2人</t>
  </si>
  <si>
    <t>（児童１人 ＋ 年収103万円以下の配偶者の場合　等）</t>
  </si>
  <si>
    <t>3人</t>
  </si>
  <si>
    <t>（児童２人 ＋ 年収103万円以下の配偶者の場合　等）</t>
  </si>
  <si>
    <t>4人</t>
  </si>
  <si>
    <t>（児童３人 ＋ 年収103万円以下の配偶者の場合　等）</t>
  </si>
  <si>
    <t>5人</t>
  </si>
  <si>
    <t>（児童４人 ＋ 年収103万円以下の配偶者の場合　等）</t>
  </si>
  <si>
    <t>人数</t>
    <rPh sb="0" eb="2">
      <t>ニンズウ</t>
    </rPh>
    <phoneticPr fontId="2"/>
  </si>
  <si>
    <t>※子供が増えても、食費等は親の半分、電気代等は1/4しか増えない計算にしています。</t>
    <rPh sb="1" eb="3">
      <t>コドモ</t>
    </rPh>
    <rPh sb="4" eb="5">
      <t>フ</t>
    </rPh>
    <rPh sb="9" eb="12">
      <t>ショクヒトウ</t>
    </rPh>
    <rPh sb="13" eb="14">
      <t>オヤ</t>
    </rPh>
    <rPh sb="15" eb="17">
      <t>ハンブン</t>
    </rPh>
    <rPh sb="18" eb="21">
      <t>デンキダイ</t>
    </rPh>
    <rPh sb="21" eb="22">
      <t>トウ</t>
    </rPh>
    <rPh sb="28" eb="29">
      <t>フ</t>
    </rPh>
    <rPh sb="32" eb="34">
      <t>ケイサン</t>
    </rPh>
    <phoneticPr fontId="2"/>
  </si>
  <si>
    <t>収入(子供手当)</t>
    <rPh sb="0" eb="2">
      <t>シュウニュウ</t>
    </rPh>
    <rPh sb="3" eb="7">
      <t>コドモテアテ</t>
    </rPh>
    <phoneticPr fontId="2"/>
  </si>
  <si>
    <t>&lt;購入する場合&gt;</t>
    <rPh sb="1" eb="3">
      <t>コウニュウ</t>
    </rPh>
    <rPh sb="5" eb="7">
      <t>バアイ</t>
    </rPh>
    <phoneticPr fontId="2"/>
  </si>
  <si>
    <t>以上</t>
  </si>
  <si>
    <t>以下</t>
  </si>
  <si>
    <t>年金の計算</t>
    <rPh sb="0" eb="2">
      <t>ネンキン</t>
    </rPh>
    <rPh sb="3" eb="5">
      <t>ケイサン</t>
    </rPh>
    <phoneticPr fontId="2"/>
  </si>
  <si>
    <t>リフォーム</t>
    <phoneticPr fontId="2"/>
  </si>
  <si>
    <t>収支(含割掛)</t>
    <rPh sb="0" eb="2">
      <t>シュウシ</t>
    </rPh>
    <rPh sb="3" eb="4">
      <t>フク</t>
    </rPh>
    <rPh sb="4" eb="6">
      <t>ワリガ</t>
    </rPh>
    <phoneticPr fontId="2"/>
  </si>
  <si>
    <t>単年度収支</t>
    <rPh sb="0" eb="3">
      <t>タンネンド</t>
    </rPh>
    <rPh sb="3" eb="5">
      <t>シュウシ</t>
    </rPh>
    <phoneticPr fontId="2"/>
  </si>
  <si>
    <t>※おこづかいはそのまま入っています。</t>
    <rPh sb="11" eb="12">
      <t>ハイ</t>
    </rPh>
    <phoneticPr fontId="2"/>
  </si>
  <si>
    <t>退職までの支出　合計</t>
    <rPh sb="0" eb="2">
      <t>タイショク</t>
    </rPh>
    <rPh sb="5" eb="7">
      <t>シシュツ</t>
    </rPh>
    <rPh sb="8" eb="10">
      <t>ゴウケイ</t>
    </rPh>
    <phoneticPr fontId="2"/>
  </si>
  <si>
    <t>退職までの支出(含お小遣い)　合計</t>
    <rPh sb="0" eb="2">
      <t>タイショク</t>
    </rPh>
    <rPh sb="5" eb="7">
      <t>シシュツ</t>
    </rPh>
    <rPh sb="8" eb="9">
      <t>フク</t>
    </rPh>
    <rPh sb="10" eb="12">
      <t>コヅカ</t>
    </rPh>
    <rPh sb="15" eb="17">
      <t>ゴウケイ</t>
    </rPh>
    <phoneticPr fontId="2"/>
  </si>
  <si>
    <t>住宅ローン</t>
    <rPh sb="0" eb="2">
      <t>ジュウタク</t>
    </rPh>
    <phoneticPr fontId="2"/>
  </si>
  <si>
    <t>毎月の計算</t>
    <rPh sb="0" eb="2">
      <t>マイツキ</t>
    </rPh>
    <rPh sb="3" eb="5">
      <t>ケイサン</t>
    </rPh>
    <phoneticPr fontId="2"/>
  </si>
  <si>
    <t>↓毎月換算</t>
    <rPh sb="1" eb="5">
      <t>マイツキカンサン</t>
    </rPh>
    <phoneticPr fontId="2"/>
  </si>
  <si>
    <t>毎月収支</t>
    <rPh sb="0" eb="4">
      <t>マイツキシュウシ</t>
    </rPh>
    <phoneticPr fontId="2"/>
  </si>
  <si>
    <t>グラフ</t>
    <phoneticPr fontId="2"/>
  </si>
  <si>
    <t>表 賃金カーブ</t>
  </si>
  <si>
    <t>表5-1 性別、年齢階級による賃金カーブ（所定内給与額）</t>
  </si>
  <si>
    <t>図5　賃金カーブ｜早わかり　グラフでみる長期労働統計｜労働政策研究・研修機構（JILPT）</t>
  </si>
  <si>
    <t>男女計</t>
  </si>
  <si>
    <t>1976年</t>
  </si>
  <si>
    <t>1995年</t>
  </si>
  <si>
    <t>2019年</t>
  </si>
  <si>
    <t>（千円）</t>
  </si>
  <si>
    <t>20～24歳
=100</t>
  </si>
  <si>
    <t>男女計の
20～24歳=100</t>
  </si>
  <si>
    <t>計</t>
  </si>
  <si>
    <t>～19歳</t>
  </si>
  <si>
    <t>20～24歳</t>
  </si>
  <si>
    <t>25～29歳</t>
  </si>
  <si>
    <t>30～34歳</t>
  </si>
  <si>
    <t>35～39歳</t>
  </si>
  <si>
    <t>40～44歳</t>
  </si>
  <si>
    <t>45～49歳</t>
  </si>
  <si>
    <t>50～54歳</t>
  </si>
  <si>
    <t>55～59歳</t>
  </si>
  <si>
    <t>60歳～</t>
  </si>
  <si>
    <t>男</t>
  </si>
  <si>
    <t>女</t>
  </si>
  <si>
    <t>資料出所 厚生労働省「賃金構造基本統計調査」
（注１）平均所定内給与額のほか、各調査年での男女計の「20～24歳」の平均所定内賃金額を100としたときの平均所定内給与額と、男女計、男、女それぞれの「20～24歳」の平均所定内賃金額を100としたときの平均所定内給与額である。
（注２）19歳以下と60歳以上では調査年により年齢階級区分が異なるため、労働者数ウェイトを用いて区分を統合した値を推計した。</t>
  </si>
  <si>
    <t>生涯平均年収</t>
  </si>
  <si>
    <t>使途不明金</t>
    <rPh sb="0" eb="5">
      <t>シトフメイキン</t>
    </rPh>
    <phoneticPr fontId="2"/>
  </si>
  <si>
    <t>※交通費は、お小遣いに含む。</t>
    <rPh sb="1" eb="4">
      <t>コウツウヒ</t>
    </rPh>
    <rPh sb="7" eb="9">
      <t>コヅカ</t>
    </rPh>
    <rPh sb="11" eb="12">
      <t>フク</t>
    </rPh>
    <phoneticPr fontId="2"/>
  </si>
  <si>
    <t>独身</t>
    <rPh sb="0" eb="2">
      <t>ドクシン</t>
    </rPh>
    <phoneticPr fontId="2"/>
  </si>
  <si>
    <t>親1退職時の収支</t>
    <rPh sb="0" eb="1">
      <t>オヤ</t>
    </rPh>
    <rPh sb="2" eb="5">
      <t>タイショクジ</t>
    </rPh>
    <rPh sb="6" eb="8">
      <t>シュウシ</t>
    </rPh>
    <phoneticPr fontId="2"/>
  </si>
  <si>
    <t>ExcelでFP</t>
    <phoneticPr fontId="2"/>
  </si>
  <si>
    <t>この色のセルを入力していってください。</t>
    <rPh sb="2" eb="3">
      <t>イロ</t>
    </rPh>
    <rPh sb="7" eb="9">
      <t>ニュウリョク</t>
    </rPh>
    <phoneticPr fontId="2"/>
  </si>
  <si>
    <t>※使途不明金は初期設定で10%としております。</t>
    <rPh sb="1" eb="6">
      <t>シトフメイキン</t>
    </rPh>
    <rPh sb="7" eb="11">
      <t>ショキセッテイ</t>
    </rPh>
    <phoneticPr fontId="2"/>
  </si>
  <si>
    <t>子供にかかる費用</t>
    <rPh sb="0" eb="2">
      <t>コドモ</t>
    </rPh>
    <rPh sb="6" eb="8">
      <t>ヒヨウ</t>
    </rPh>
    <phoneticPr fontId="2"/>
  </si>
  <si>
    <t>住居にかかる費用</t>
    <rPh sb="0" eb="2">
      <t>ジュウキョ</t>
    </rPh>
    <rPh sb="6" eb="8">
      <t>ヒヨウ</t>
    </rPh>
    <phoneticPr fontId="2"/>
  </si>
  <si>
    <t>子供手当の
扶養人数</t>
    <rPh sb="0" eb="4">
      <t>コドモテアテ</t>
    </rPh>
    <rPh sb="6" eb="10">
      <t>フヨウニンズウ</t>
    </rPh>
    <phoneticPr fontId="2"/>
  </si>
  <si>
    <t>退職後</t>
    <rPh sb="0" eb="3">
      <t>タイショクゴ</t>
    </rPh>
    <phoneticPr fontId="2"/>
  </si>
  <si>
    <t>子供の人数</t>
    <rPh sb="0" eb="2">
      <t>コドモ</t>
    </rPh>
    <rPh sb="3" eb="5">
      <t>ニンズウ</t>
    </rPh>
    <phoneticPr fontId="2"/>
  </si>
  <si>
    <t>子1人</t>
  </si>
  <si>
    <t>子離れ</t>
  </si>
  <si>
    <t>夫婦</t>
  </si>
  <si>
    <t>子2人以上</t>
    <rPh sb="3" eb="5">
      <t>イジョウ</t>
    </rPh>
    <phoneticPr fontId="2"/>
  </si>
  <si>
    <t>車維持費</t>
    <rPh sb="0" eb="4">
      <t>クルマイジヒ</t>
    </rPh>
    <phoneticPr fontId="2"/>
  </si>
  <si>
    <t>リフォーム・大物家電</t>
    <rPh sb="6" eb="8">
      <t>オオモノ</t>
    </rPh>
    <rPh sb="8" eb="10">
      <t>カデン</t>
    </rPh>
    <phoneticPr fontId="2"/>
  </si>
  <si>
    <t>車積立</t>
    <rPh sb="0" eb="3">
      <t>クルマツミタテ</t>
    </rPh>
    <phoneticPr fontId="2"/>
  </si>
  <si>
    <t>積立</t>
    <rPh sb="0" eb="2">
      <t>ツミタテ</t>
    </rPh>
    <phoneticPr fontId="2"/>
  </si>
  <si>
    <t>学費・仕送り積立</t>
    <rPh sb="0" eb="2">
      <t>ガクヒ</t>
    </rPh>
    <rPh sb="3" eb="5">
      <t>シオク</t>
    </rPh>
    <rPh sb="6" eb="8">
      <t>ツミタテ</t>
    </rPh>
    <phoneticPr fontId="2"/>
  </si>
  <si>
    <t>塾・習い事</t>
    <rPh sb="0" eb="1">
      <t>ジュク</t>
    </rPh>
    <rPh sb="2" eb="3">
      <t>ナラ</t>
    </rPh>
    <rPh sb="4" eb="5">
      <t>ゴト</t>
    </rPh>
    <phoneticPr fontId="2"/>
  </si>
  <si>
    <t>車にかかる費用</t>
    <rPh sb="0" eb="1">
      <t>クルマ</t>
    </rPh>
    <rPh sb="5" eb="7">
      <t>ヒヨウ</t>
    </rPh>
    <phoneticPr fontId="2"/>
  </si>
  <si>
    <t>毎月の収支</t>
    <rPh sb="0" eb="2">
      <t>マイツキ</t>
    </rPh>
    <rPh sb="3" eb="5">
      <t>シュウシ</t>
    </rPh>
    <phoneticPr fontId="2"/>
  </si>
  <si>
    <t>大物家電・リフォーム</t>
    <rPh sb="0" eb="4">
      <t>オオモノカデン</t>
    </rPh>
    <phoneticPr fontId="2"/>
  </si>
  <si>
    <t>塾・習い事・学費</t>
    <rPh sb="0" eb="1">
      <t>ジュク</t>
    </rPh>
    <rPh sb="2" eb="3">
      <t>ナラ</t>
    </rPh>
    <rPh sb="4" eb="5">
      <t>ゴト</t>
    </rPh>
    <rPh sb="6" eb="8">
      <t>ガクヒ</t>
    </rPh>
    <phoneticPr fontId="2"/>
  </si>
  <si>
    <t>大学費用(学費・仕送り)</t>
    <rPh sb="0" eb="2">
      <t>ダイガク</t>
    </rPh>
    <rPh sb="2" eb="4">
      <t>ヒヨウ</t>
    </rPh>
    <rPh sb="5" eb="7">
      <t>ガクヒ</t>
    </rPh>
    <rPh sb="8" eb="10">
      <t>シオク</t>
    </rPh>
    <phoneticPr fontId="2"/>
  </si>
  <si>
    <t>大学の学費</t>
    <rPh sb="0" eb="2">
      <t>ダイガク</t>
    </rPh>
    <rPh sb="3" eb="5">
      <t>ガクヒ</t>
    </rPh>
    <phoneticPr fontId="2"/>
  </si>
  <si>
    <t>大学関係</t>
    <rPh sb="0" eb="4">
      <t>ダイガクカンケイ</t>
    </rPh>
    <phoneticPr fontId="2"/>
  </si>
  <si>
    <t>大学関係合計</t>
    <rPh sb="0" eb="6">
      <t>ダイガクカンケイゴウケイ</t>
    </rPh>
    <phoneticPr fontId="2"/>
  </si>
  <si>
    <t>&lt;内大学関係合計&gt;</t>
    <rPh sb="1" eb="2">
      <t>ウチ</t>
    </rPh>
    <rPh sb="2" eb="8">
      <t>ダイガクカンケイゴウケイ</t>
    </rPh>
    <phoneticPr fontId="2"/>
  </si>
  <si>
    <t>服・日用品</t>
    <rPh sb="2" eb="5">
      <t>ニチヨウヒン</t>
    </rPh>
    <phoneticPr fontId="2"/>
  </si>
  <si>
    <t>光熱費</t>
    <rPh sb="0" eb="3">
      <t>コウネツヒ</t>
    </rPh>
    <phoneticPr fontId="2"/>
  </si>
  <si>
    <t>通信</t>
    <rPh sb="0" eb="2">
      <t>ツウシン</t>
    </rPh>
    <phoneticPr fontId="2"/>
  </si>
  <si>
    <t>こども</t>
    <phoneticPr fontId="2"/>
  </si>
  <si>
    <t>車(金額)</t>
    <rPh sb="0" eb="1">
      <t>クルマ</t>
    </rPh>
    <rPh sb="2" eb="4">
      <t>キンガク</t>
    </rPh>
    <phoneticPr fontId="2"/>
  </si>
  <si>
    <t>万円</t>
    <rPh sb="0" eb="2">
      <t>マンエン</t>
    </rPh>
    <phoneticPr fontId="2"/>
  </si>
  <si>
    <t>人</t>
    <rPh sb="0" eb="1">
      <t>ニン</t>
    </rPh>
    <phoneticPr fontId="2"/>
  </si>
  <si>
    <t>台</t>
    <rPh sb="0" eb="1">
      <t>ダイ</t>
    </rPh>
    <phoneticPr fontId="2"/>
  </si>
  <si>
    <t>老後(退職金無し)</t>
    <rPh sb="0" eb="2">
      <t>ロウゴ</t>
    </rPh>
    <rPh sb="3" eb="7">
      <t>タイショクキンナ</t>
    </rPh>
    <phoneticPr fontId="2"/>
  </si>
  <si>
    <t>試算結果↓</t>
    <rPh sb="0" eb="4">
      <t>シサンケッカ</t>
    </rPh>
    <phoneticPr fontId="2"/>
  </si>
  <si>
    <t>家具・大物家電</t>
    <rPh sb="3" eb="7">
      <t>オオモノカデン</t>
    </rPh>
    <phoneticPr fontId="2"/>
  </si>
  <si>
    <t>貯蓄最低額</t>
    <rPh sb="0" eb="4">
      <t>チョチクサイテイ</t>
    </rPh>
    <rPh sb="4" eb="5">
      <t>ガク</t>
    </rPh>
    <phoneticPr fontId="2"/>
  </si>
  <si>
    <t>車検</t>
    <rPh sb="0" eb="2">
      <t>シャケン</t>
    </rPh>
    <phoneticPr fontId="2"/>
  </si>
  <si>
    <t>車有無</t>
    <rPh sb="0" eb="3">
      <t>クルマウム</t>
    </rPh>
    <phoneticPr fontId="2"/>
  </si>
  <si>
    <t>家電・リフォーム</t>
    <rPh sb="0" eb="2">
      <t>カデン</t>
    </rPh>
    <phoneticPr fontId="2"/>
  </si>
  <si>
    <t>※一戸建ては自動的に「0」になります。</t>
    <rPh sb="1" eb="4">
      <t>イッコダ</t>
    </rPh>
    <rPh sb="6" eb="9">
      <t>ジドウテキ</t>
    </rPh>
    <phoneticPr fontId="2"/>
  </si>
  <si>
    <t>※マンションのみ</t>
    <phoneticPr fontId="2"/>
  </si>
  <si>
    <t>月変動費</t>
    <rPh sb="0" eb="4">
      <t>ツキヘンドウヒ</t>
    </rPh>
    <phoneticPr fontId="2"/>
  </si>
  <si>
    <t>食費</t>
    <rPh sb="0" eb="2">
      <t>ショクヒ</t>
    </rPh>
    <phoneticPr fontId="2"/>
  </si>
  <si>
    <t>服・日用品</t>
    <rPh sb="0" eb="1">
      <t>フク</t>
    </rPh>
    <rPh sb="2" eb="5">
      <t>ニチヨウヒン</t>
    </rPh>
    <phoneticPr fontId="2"/>
  </si>
  <si>
    <t>他</t>
    <rPh sb="0" eb="1">
      <t>ホカ</t>
    </rPh>
    <phoneticPr fontId="2"/>
  </si>
  <si>
    <t>仕送り無し</t>
    <rPh sb="0" eb="2">
      <t>シオク</t>
    </rPh>
    <rPh sb="3" eb="4">
      <t>ナ</t>
    </rPh>
    <phoneticPr fontId="2"/>
  </si>
  <si>
    <t>仕送り有</t>
    <rPh sb="0" eb="2">
      <t>シオク</t>
    </rPh>
    <rPh sb="3" eb="4">
      <t>アリ</t>
    </rPh>
    <phoneticPr fontId="2"/>
  </si>
  <si>
    <t>子供</t>
    <rPh sb="0" eb="2">
      <t>コドモ</t>
    </rPh>
    <phoneticPr fontId="2"/>
  </si>
  <si>
    <t>習い事塾</t>
    <rPh sb="0" eb="1">
      <t>ナラ</t>
    </rPh>
    <rPh sb="2" eb="3">
      <t>ゴト</t>
    </rPh>
    <rPh sb="3" eb="4">
      <t>ジュク</t>
    </rPh>
    <phoneticPr fontId="2"/>
  </si>
  <si>
    <t>&lt;給料&gt;</t>
    <rPh sb="1" eb="3">
      <t>キュウリョウ</t>
    </rPh>
    <phoneticPr fontId="2"/>
  </si>
  <si>
    <t>&lt;子供&gt;</t>
    <rPh sb="1" eb="3">
      <t>コドモ</t>
    </rPh>
    <phoneticPr fontId="2"/>
  </si>
  <si>
    <t>&lt;家&gt;</t>
    <rPh sb="1" eb="2">
      <t>イエ</t>
    </rPh>
    <phoneticPr fontId="2"/>
  </si>
  <si>
    <t>&lt;車&gt;</t>
    <rPh sb="1" eb="2">
      <t>クルマ</t>
    </rPh>
    <phoneticPr fontId="2"/>
  </si>
  <si>
    <t>&lt;変動費&gt;</t>
    <rPh sb="1" eb="4">
      <t>ヘンドウヒ</t>
    </rPh>
    <phoneticPr fontId="2"/>
  </si>
  <si>
    <t>&lt;お小遣い&gt;</t>
    <rPh sb="2" eb="4">
      <t>コヅカ</t>
    </rPh>
    <phoneticPr fontId="2"/>
  </si>
  <si>
    <t>賃貸</t>
    <rPh sb="0" eb="2">
      <t>チンタイ</t>
    </rPh>
    <phoneticPr fontId="2"/>
  </si>
  <si>
    <t>マイホーム</t>
    <phoneticPr fontId="2"/>
  </si>
  <si>
    <t>万円/月</t>
    <rPh sb="0" eb="2">
      <t>マンエン</t>
    </rPh>
    <rPh sb="3" eb="4">
      <t>ツキ</t>
    </rPh>
    <phoneticPr fontId="2"/>
  </si>
  <si>
    <t>※子供ができるまで</t>
    <rPh sb="1" eb="3">
      <t>コドモ</t>
    </rPh>
    <phoneticPr fontId="2"/>
  </si>
  <si>
    <t>家族合計(使途不明含む)</t>
    <rPh sb="0" eb="4">
      <t>カゾクゴウケイ</t>
    </rPh>
    <rPh sb="5" eb="9">
      <t>シトフメイ</t>
    </rPh>
    <rPh sb="9" eb="10">
      <t>フク</t>
    </rPh>
    <phoneticPr fontId="2"/>
  </si>
  <si>
    <t>世帯年収(生涯平均)</t>
    <rPh sb="0" eb="4">
      <t>セタイネンシュウ</t>
    </rPh>
    <rPh sb="5" eb="9">
      <t>ショウガイヘイキン</t>
    </rPh>
    <phoneticPr fontId="2"/>
  </si>
  <si>
    <t>駐車場代</t>
    <rPh sb="0" eb="4">
      <t>チュウシャジョウダイ</t>
    </rPh>
    <phoneticPr fontId="2"/>
  </si>
  <si>
    <t>収支(積立含む)</t>
    <rPh sb="0" eb="2">
      <t>シュウシ</t>
    </rPh>
    <rPh sb="3" eb="5">
      <t>ツミタテ</t>
    </rPh>
    <rPh sb="5" eb="6">
      <t>フク</t>
    </rPh>
    <phoneticPr fontId="2"/>
  </si>
  <si>
    <t>学費・仕送り</t>
    <rPh sb="0" eb="2">
      <t>ガクヒ</t>
    </rPh>
    <rPh sb="3" eb="5">
      <t>シオク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</si>
</sst>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 ;[Red]\-#,##0\ ;\-\ "/>
    <numFmt numFmtId="177" formatCode="#,##0.0;[Red]\-#,##0.0"/>
    <numFmt numFmtId="178" formatCode="0.0%"/>
    <numFmt numFmtId="179" formatCode="#,##0.0_ ;[Red]\-#,##0.0\ "/>
    <numFmt numFmtId="180" formatCode="\+#,##0;[Red]\-#,##0"/>
  </numFmts>
  <fonts count="15" x14ac:knownFonts="1">
    <font>
      <sz val="10"/>
      <color theme="1"/>
      <name val="Meiryo UI"/>
      <family val="2"/>
      <charset val="128"/>
    </font>
    <font>
      <sz val="10"/>
      <color theme="1"/>
      <name val="Meiryo UI"/>
      <family val="2"/>
      <charset val="128"/>
    </font>
    <font>
      <sz val="6"/>
      <name val="Meiryo UI"/>
      <family val="2"/>
      <charset val="128"/>
    </font>
    <font>
      <b/>
      <sz val="13"/>
      <color theme="3"/>
      <name val="Meiryo UI"/>
      <family val="2"/>
      <charset val="128"/>
    </font>
    <font>
      <sz val="10"/>
      <color rgb="FF006100"/>
      <name val="Meiryo UI"/>
      <family val="2"/>
      <charset val="128"/>
    </font>
    <font>
      <b/>
      <sz val="10"/>
      <color theme="1"/>
      <name val="Meiryo UI"/>
      <family val="3"/>
      <charset val="128"/>
    </font>
    <font>
      <b/>
      <u/>
      <sz val="10"/>
      <color theme="1"/>
      <name val="Meiryo UI"/>
      <family val="3"/>
      <charset val="128"/>
    </font>
    <font>
      <b/>
      <i/>
      <u/>
      <sz val="10"/>
      <color theme="1"/>
      <name val="Meiryo UI"/>
      <family val="3"/>
      <charset val="128"/>
    </font>
    <font>
      <sz val="10"/>
      <color theme="1"/>
      <name val="Meiryo UI"/>
      <family val="3"/>
      <charset val="128"/>
    </font>
    <font>
      <sz val="10"/>
      <color theme="1"/>
      <name val="Arial"/>
      <family val="2"/>
    </font>
    <font>
      <u/>
      <sz val="10"/>
      <color theme="10"/>
      <name val="Meiryo UI"/>
      <family val="2"/>
      <charset val="128"/>
    </font>
    <font>
      <u/>
      <sz val="10"/>
      <color theme="10"/>
      <name val="Meiryo UI"/>
      <family val="3"/>
      <charset val="128"/>
    </font>
    <font>
      <sz val="11"/>
      <color rgb="FF000000"/>
      <name val="Arial"/>
      <family val="2"/>
    </font>
    <font>
      <sz val="16"/>
      <color theme="1"/>
      <name val="Meiryo UI"/>
      <family val="2"/>
      <charset val="128"/>
    </font>
    <font>
      <b/>
      <u/>
      <sz val="20"/>
      <color theme="1"/>
      <name val="Meiryo UI"/>
      <family val="3"/>
      <charset val="128"/>
    </font>
  </fonts>
  <fills count="16">
    <fill>
      <patternFill patternType="none"/>
    </fill>
    <fill>
      <patternFill patternType="gray125"/>
    </fill>
    <fill>
      <patternFill patternType="solid">
        <fgColor rgb="FFFFCC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1" tint="0.49998474074526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s>
  <borders count="73">
    <border>
      <left/>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CCCCCC"/>
      </top>
      <bottom/>
      <diagonal/>
    </border>
    <border>
      <left/>
      <right/>
      <top style="medium">
        <color rgb="FFCCCCCC"/>
      </top>
      <bottom/>
      <diagonal/>
    </border>
    <border>
      <left style="medium">
        <color rgb="FFCCCCCC"/>
      </left>
      <right/>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0" fillId="0" borderId="0" applyNumberFormat="0" applyFill="0" applyBorder="0" applyAlignment="0" applyProtection="0">
      <alignment vertical="center"/>
    </xf>
  </cellStyleXfs>
  <cellXfs count="399">
    <xf numFmtId="0" fontId="0" fillId="0" borderId="0" xfId="0">
      <alignment vertical="center"/>
    </xf>
    <xf numFmtId="38" fontId="0" fillId="0" borderId="0" xfId="1" applyFont="1">
      <alignment vertical="center"/>
    </xf>
    <xf numFmtId="38" fontId="0" fillId="0" borderId="1" xfId="1" applyFont="1" applyBorder="1">
      <alignment vertical="center"/>
    </xf>
    <xf numFmtId="38" fontId="0" fillId="0" borderId="0" xfId="1" applyFont="1" applyBorder="1">
      <alignment vertical="center"/>
    </xf>
    <xf numFmtId="0" fontId="0" fillId="0" borderId="0" xfId="0" applyAlignment="1">
      <alignment vertical="center" textRotation="90"/>
    </xf>
    <xf numFmtId="38" fontId="0" fillId="0" borderId="3" xfId="1" applyFont="1" applyBorder="1">
      <alignment vertical="center"/>
    </xf>
    <xf numFmtId="38" fontId="0" fillId="0" borderId="5" xfId="1" applyFont="1" applyBorder="1" applyAlignment="1">
      <alignment vertical="center" textRotation="90"/>
    </xf>
    <xf numFmtId="38" fontId="0" fillId="0" borderId="6" xfId="1" applyFont="1" applyBorder="1" applyAlignment="1">
      <alignment vertical="center" textRotation="90"/>
    </xf>
    <xf numFmtId="38" fontId="0" fillId="0" borderId="5" xfId="1" applyFont="1" applyBorder="1">
      <alignment vertical="center"/>
    </xf>
    <xf numFmtId="38" fontId="0" fillId="0" borderId="0" xfId="1" applyFont="1" applyAlignment="1">
      <alignment horizontal="right" vertical="center"/>
    </xf>
    <xf numFmtId="0" fontId="0" fillId="0" borderId="0" xfId="0" applyAlignment="1">
      <alignment horizontal="right" vertical="center"/>
    </xf>
    <xf numFmtId="38" fontId="0" fillId="0" borderId="8" xfId="1" applyFont="1" applyBorder="1" applyAlignment="1">
      <alignment vertical="center" textRotation="90"/>
    </xf>
    <xf numFmtId="38" fontId="0" fillId="0" borderId="9" xfId="1" applyFont="1" applyBorder="1" applyAlignment="1">
      <alignment vertical="center" textRotation="90"/>
    </xf>
    <xf numFmtId="38" fontId="0" fillId="0" borderId="10" xfId="1" applyFont="1" applyBorder="1" applyAlignment="1">
      <alignment vertical="center" textRotation="90"/>
    </xf>
    <xf numFmtId="38" fontId="0" fillId="0" borderId="11" xfId="1" applyFont="1" applyBorder="1">
      <alignment vertical="center"/>
    </xf>
    <xf numFmtId="38" fontId="0" fillId="3" borderId="12" xfId="1" applyFont="1" applyFill="1" applyBorder="1" applyAlignment="1">
      <alignment horizontal="right" vertical="center"/>
    </xf>
    <xf numFmtId="38" fontId="0" fillId="3" borderId="2" xfId="1" applyFont="1" applyFill="1" applyBorder="1" applyAlignment="1">
      <alignment horizontal="right" vertical="center"/>
    </xf>
    <xf numFmtId="0" fontId="0" fillId="3" borderId="14" xfId="0" applyFill="1" applyBorder="1" applyAlignment="1">
      <alignment vertical="center" textRotation="90"/>
    </xf>
    <xf numFmtId="38" fontId="0" fillId="3" borderId="11" xfId="1" applyFont="1" applyFill="1" applyBorder="1">
      <alignment vertical="center"/>
    </xf>
    <xf numFmtId="38" fontId="0" fillId="2" borderId="12" xfId="1" applyFont="1" applyFill="1" applyBorder="1" applyAlignment="1">
      <alignment horizontal="right" vertical="center"/>
    </xf>
    <xf numFmtId="38" fontId="0" fillId="2" borderId="2" xfId="1" applyFont="1" applyFill="1" applyBorder="1" applyAlignment="1">
      <alignment horizontal="right" vertical="center"/>
    </xf>
    <xf numFmtId="38" fontId="0" fillId="2" borderId="15" xfId="1" applyFont="1" applyFill="1" applyBorder="1" applyAlignment="1">
      <alignment horizontal="right" vertical="center"/>
    </xf>
    <xf numFmtId="38" fontId="0" fillId="2" borderId="11" xfId="1" applyFont="1" applyFill="1" applyBorder="1" applyAlignment="1">
      <alignment horizontal="right" vertical="center"/>
    </xf>
    <xf numFmtId="38" fontId="0" fillId="2" borderId="14" xfId="1" applyFont="1" applyFill="1" applyBorder="1" applyAlignment="1">
      <alignment vertical="center" textRotation="90"/>
    </xf>
    <xf numFmtId="38" fontId="0" fillId="2" borderId="11" xfId="1" applyFont="1" applyFill="1" applyBorder="1">
      <alignment vertical="center"/>
    </xf>
    <xf numFmtId="38" fontId="0" fillId="2" borderId="14" xfId="1" applyFont="1" applyFill="1" applyBorder="1">
      <alignment vertical="center"/>
    </xf>
    <xf numFmtId="38" fontId="0" fillId="3" borderId="15" xfId="1" applyFont="1" applyFill="1" applyBorder="1" applyAlignment="1">
      <alignment horizontal="right" vertical="center"/>
    </xf>
    <xf numFmtId="38" fontId="0" fillId="3" borderId="4" xfId="1" applyFont="1" applyFill="1" applyBorder="1">
      <alignment vertical="center"/>
    </xf>
    <xf numFmtId="38" fontId="0" fillId="0" borderId="2" xfId="1" applyFont="1" applyFill="1" applyBorder="1" applyAlignment="1">
      <alignment horizontal="right" vertical="center"/>
    </xf>
    <xf numFmtId="38" fontId="0" fillId="0" borderId="15" xfId="1" applyFont="1" applyFill="1" applyBorder="1" applyAlignment="1">
      <alignment horizontal="right" vertical="center"/>
    </xf>
    <xf numFmtId="38" fontId="0" fillId="0" borderId="14" xfId="1" applyFont="1" applyBorder="1" applyAlignment="1">
      <alignment vertical="center" textRotation="90"/>
    </xf>
    <xf numFmtId="38" fontId="0" fillId="4" borderId="13" xfId="1" applyFont="1" applyFill="1" applyBorder="1" applyAlignment="1">
      <alignment horizontal="right" vertical="center"/>
    </xf>
    <xf numFmtId="38" fontId="0" fillId="4" borderId="4" xfId="1" applyFont="1" applyFill="1" applyBorder="1" applyAlignment="1">
      <alignment horizontal="right" vertical="center"/>
    </xf>
    <xf numFmtId="38" fontId="0" fillId="4" borderId="17" xfId="1" applyFont="1" applyFill="1" applyBorder="1" applyAlignment="1">
      <alignment vertical="center" textRotation="90"/>
    </xf>
    <xf numFmtId="38" fontId="0" fillId="4" borderId="4" xfId="1" applyFont="1" applyFill="1" applyBorder="1">
      <alignment vertical="center"/>
    </xf>
    <xf numFmtId="38" fontId="0" fillId="0" borderId="18" xfId="1" applyFont="1" applyBorder="1">
      <alignment vertical="center"/>
    </xf>
    <xf numFmtId="38" fontId="0" fillId="4" borderId="7" xfId="1" applyFont="1" applyFill="1" applyBorder="1">
      <alignment vertical="center"/>
    </xf>
    <xf numFmtId="38" fontId="0" fillId="0" borderId="19" xfId="1" applyFont="1" applyBorder="1">
      <alignment vertical="center"/>
    </xf>
    <xf numFmtId="38" fontId="0" fillId="2" borderId="19" xfId="1" applyFont="1" applyFill="1" applyBorder="1">
      <alignment vertical="center"/>
    </xf>
    <xf numFmtId="38" fontId="0" fillId="3" borderId="7" xfId="1" applyFont="1" applyFill="1" applyBorder="1">
      <alignment vertical="center"/>
    </xf>
    <xf numFmtId="38" fontId="0" fillId="3" borderId="19" xfId="1" applyFont="1" applyFill="1" applyBorder="1">
      <alignment vertical="center"/>
    </xf>
    <xf numFmtId="38" fontId="0" fillId="0" borderId="12" xfId="1" applyFont="1" applyBorder="1" applyAlignment="1">
      <alignment horizontal="right" vertical="center"/>
    </xf>
    <xf numFmtId="38" fontId="0" fillId="0" borderId="2" xfId="1" applyFont="1" applyBorder="1" applyAlignment="1">
      <alignment horizontal="right" vertical="center"/>
    </xf>
    <xf numFmtId="38" fontId="0" fillId="0" borderId="3" xfId="1" applyFont="1" applyBorder="1" applyAlignment="1">
      <alignment horizontal="right" vertical="center"/>
    </xf>
    <xf numFmtId="38" fontId="0" fillId="0" borderId="0" xfId="1" applyFont="1" applyBorder="1" applyAlignment="1">
      <alignment horizontal="right" vertical="center"/>
    </xf>
    <xf numFmtId="176" fontId="0" fillId="0" borderId="12" xfId="1" applyNumberFormat="1" applyFont="1" applyBorder="1" applyAlignment="1">
      <alignment horizontal="right" vertical="center"/>
    </xf>
    <xf numFmtId="176" fontId="0" fillId="0" borderId="2" xfId="1" applyNumberFormat="1" applyFont="1" applyBorder="1" applyAlignment="1">
      <alignment horizontal="right" vertical="center"/>
    </xf>
    <xf numFmtId="176" fontId="0" fillId="4" borderId="13" xfId="1" applyNumberFormat="1" applyFont="1" applyFill="1" applyBorder="1" applyAlignment="1">
      <alignment horizontal="right" vertical="center"/>
    </xf>
    <xf numFmtId="176" fontId="0" fillId="2" borderId="12" xfId="1" applyNumberFormat="1" applyFont="1" applyFill="1" applyBorder="1" applyAlignment="1">
      <alignment horizontal="right" vertical="center"/>
    </xf>
    <xf numFmtId="176" fontId="0" fillId="2" borderId="2" xfId="1" applyNumberFormat="1" applyFont="1" applyFill="1" applyBorder="1" applyAlignment="1">
      <alignment horizontal="right" vertical="center"/>
    </xf>
    <xf numFmtId="176" fontId="0" fillId="2" borderId="15" xfId="1" applyNumberFormat="1" applyFont="1" applyFill="1" applyBorder="1" applyAlignment="1">
      <alignment horizontal="right" vertical="center"/>
    </xf>
    <xf numFmtId="176" fontId="0" fillId="0" borderId="0" xfId="0" applyNumberFormat="1" applyAlignment="1">
      <alignment horizontal="right" vertical="center"/>
    </xf>
    <xf numFmtId="176" fontId="0" fillId="0" borderId="3" xfId="1" applyNumberFormat="1" applyFont="1" applyBorder="1" applyAlignment="1">
      <alignment horizontal="right" vertical="center"/>
    </xf>
    <xf numFmtId="176" fontId="0" fillId="0" borderId="0" xfId="1" applyNumberFormat="1" applyFont="1" applyBorder="1" applyAlignment="1">
      <alignment horizontal="right" vertical="center"/>
    </xf>
    <xf numFmtId="176" fontId="0" fillId="4" borderId="4" xfId="1" applyNumberFormat="1" applyFont="1" applyFill="1" applyBorder="1" applyAlignment="1">
      <alignment horizontal="right" vertical="center"/>
    </xf>
    <xf numFmtId="176" fontId="0" fillId="0" borderId="2" xfId="1" applyNumberFormat="1" applyFont="1" applyFill="1" applyBorder="1" applyAlignment="1">
      <alignment horizontal="right" vertical="center"/>
    </xf>
    <xf numFmtId="176" fontId="0" fillId="0" borderId="15" xfId="1" applyNumberFormat="1" applyFont="1" applyFill="1" applyBorder="1" applyAlignment="1">
      <alignment horizontal="right" vertical="center"/>
    </xf>
    <xf numFmtId="176" fontId="0" fillId="2" borderId="11" xfId="1" applyNumberFormat="1" applyFont="1" applyFill="1" applyBorder="1" applyAlignment="1">
      <alignment horizontal="right" vertical="center"/>
    </xf>
    <xf numFmtId="176" fontId="0" fillId="3" borderId="12" xfId="1" applyNumberFormat="1" applyFont="1" applyFill="1" applyBorder="1" applyAlignment="1">
      <alignment horizontal="right" vertical="center"/>
    </xf>
    <xf numFmtId="176" fontId="0" fillId="3" borderId="2" xfId="1" applyNumberFormat="1" applyFont="1" applyFill="1" applyBorder="1" applyAlignment="1">
      <alignment horizontal="right" vertical="center"/>
    </xf>
    <xf numFmtId="176" fontId="0" fillId="3" borderId="15" xfId="1" applyNumberFormat="1" applyFont="1" applyFill="1" applyBorder="1" applyAlignment="1">
      <alignment horizontal="right" vertical="center"/>
    </xf>
    <xf numFmtId="176" fontId="0" fillId="0" borderId="6" xfId="1" applyNumberFormat="1" applyFont="1" applyBorder="1" applyAlignment="1">
      <alignment vertical="center" textRotation="90"/>
    </xf>
    <xf numFmtId="176" fontId="0" fillId="0" borderId="5" xfId="1" applyNumberFormat="1" applyFont="1" applyBorder="1" applyAlignment="1">
      <alignment vertical="center" textRotation="90"/>
    </xf>
    <xf numFmtId="176" fontId="0" fillId="4" borderId="17" xfId="1" applyNumberFormat="1" applyFont="1" applyFill="1" applyBorder="1" applyAlignment="1">
      <alignment vertical="center" textRotation="90"/>
    </xf>
    <xf numFmtId="176" fontId="0" fillId="0" borderId="14" xfId="1" applyNumberFormat="1" applyFont="1" applyBorder="1" applyAlignment="1">
      <alignment vertical="center" textRotation="90"/>
    </xf>
    <xf numFmtId="176" fontId="0" fillId="2" borderId="14" xfId="1" applyNumberFormat="1" applyFont="1" applyFill="1" applyBorder="1" applyAlignment="1">
      <alignment vertical="center" textRotation="90"/>
    </xf>
    <xf numFmtId="176" fontId="0" fillId="0" borderId="8" xfId="1" applyNumberFormat="1" applyFont="1" applyBorder="1" applyAlignment="1">
      <alignment vertical="center" textRotation="90"/>
    </xf>
    <xf numFmtId="176" fontId="0" fillId="0" borderId="9" xfId="1" applyNumberFormat="1" applyFont="1" applyBorder="1" applyAlignment="1">
      <alignment vertical="center" textRotation="90"/>
    </xf>
    <xf numFmtId="176" fontId="0" fillId="0" borderId="10" xfId="1" applyNumberFormat="1" applyFont="1" applyBorder="1" applyAlignment="1">
      <alignment vertical="center" textRotation="90"/>
    </xf>
    <xf numFmtId="176" fontId="0" fillId="3" borderId="14" xfId="0" applyNumberFormat="1" applyFill="1" applyBorder="1" applyAlignment="1">
      <alignment vertical="center" textRotation="90"/>
    </xf>
    <xf numFmtId="176" fontId="0" fillId="0" borderId="0" xfId="0" applyNumberFormat="1" applyAlignment="1">
      <alignment vertical="center" textRotation="90"/>
    </xf>
    <xf numFmtId="176" fontId="0" fillId="0" borderId="3" xfId="1" applyNumberFormat="1" applyFont="1" applyBorder="1">
      <alignment vertical="center"/>
    </xf>
    <xf numFmtId="176" fontId="0" fillId="0" borderId="0" xfId="1" applyNumberFormat="1" applyFont="1" applyBorder="1">
      <alignment vertical="center"/>
    </xf>
    <xf numFmtId="176" fontId="0" fillId="4" borderId="4" xfId="1" applyNumberFormat="1" applyFont="1" applyFill="1" applyBorder="1">
      <alignment vertical="center"/>
    </xf>
    <xf numFmtId="176" fontId="0" fillId="0" borderId="11" xfId="1" applyNumberFormat="1" applyFont="1" applyBorder="1">
      <alignment vertical="center"/>
    </xf>
    <xf numFmtId="176" fontId="0" fillId="2" borderId="11" xfId="1" applyNumberFormat="1" applyFont="1" applyFill="1" applyBorder="1">
      <alignment vertical="center"/>
    </xf>
    <xf numFmtId="176" fontId="0" fillId="3" borderId="11" xfId="1" applyNumberFormat="1" applyFont="1" applyFill="1" applyBorder="1">
      <alignment vertical="center"/>
    </xf>
    <xf numFmtId="176" fontId="0" fillId="0" borderId="0" xfId="1" applyNumberFormat="1" applyFont="1">
      <alignment vertical="center"/>
    </xf>
    <xf numFmtId="176" fontId="0" fillId="0" borderId="0" xfId="0" applyNumberFormat="1">
      <alignment vertical="center"/>
    </xf>
    <xf numFmtId="176" fontId="0" fillId="3" borderId="4" xfId="1" applyNumberFormat="1" applyFont="1" applyFill="1" applyBorder="1">
      <alignment vertical="center"/>
    </xf>
    <xf numFmtId="176" fontId="0" fillId="0" borderId="18" xfId="1" applyNumberFormat="1" applyFont="1" applyBorder="1">
      <alignment vertical="center"/>
    </xf>
    <xf numFmtId="176" fontId="0" fillId="0" borderId="1" xfId="1" applyNumberFormat="1" applyFont="1" applyBorder="1">
      <alignment vertical="center"/>
    </xf>
    <xf numFmtId="176" fontId="0" fillId="4" borderId="7" xfId="1" applyNumberFormat="1" applyFont="1" applyFill="1" applyBorder="1">
      <alignment vertical="center"/>
    </xf>
    <xf numFmtId="176" fontId="0" fillId="0" borderId="19" xfId="1" applyNumberFormat="1" applyFont="1" applyBorder="1">
      <alignment vertical="center"/>
    </xf>
    <xf numFmtId="176" fontId="0" fillId="2" borderId="19" xfId="1" applyNumberFormat="1" applyFont="1" applyFill="1" applyBorder="1">
      <alignment vertical="center"/>
    </xf>
    <xf numFmtId="176" fontId="0" fillId="3" borderId="7" xfId="1" applyNumberFormat="1" applyFont="1" applyFill="1" applyBorder="1">
      <alignment vertical="center"/>
    </xf>
    <xf numFmtId="0" fontId="0" fillId="0" borderId="7" xfId="0" applyBorder="1">
      <alignment vertical="center"/>
    </xf>
    <xf numFmtId="176" fontId="0" fillId="0" borderId="5" xfId="1" applyNumberFormat="1" applyFont="1" applyBorder="1" applyAlignment="1">
      <alignment vertical="center" textRotation="90" wrapText="1"/>
    </xf>
    <xf numFmtId="0" fontId="0" fillId="0" borderId="7" xfId="0" applyBorder="1" applyAlignment="1">
      <alignment horizontal="center"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13" xfId="0" applyBorder="1">
      <alignment vertical="center"/>
    </xf>
    <xf numFmtId="0" fontId="0" fillId="5" borderId="7" xfId="0" applyFill="1" applyBorder="1">
      <alignment vertical="center"/>
    </xf>
    <xf numFmtId="177" fontId="0" fillId="0" borderId="0" xfId="1" applyNumberFormat="1" applyFont="1">
      <alignment vertical="center"/>
    </xf>
    <xf numFmtId="38" fontId="0" fillId="0" borderId="13" xfId="1" applyFont="1" applyBorder="1">
      <alignment vertical="center"/>
    </xf>
    <xf numFmtId="38" fontId="0" fillId="0" borderId="16" xfId="1" applyFont="1" applyBorder="1">
      <alignment vertical="center"/>
    </xf>
    <xf numFmtId="38" fontId="0" fillId="0" borderId="21" xfId="1" applyFont="1" applyBorder="1">
      <alignment vertical="center"/>
    </xf>
    <xf numFmtId="38" fontId="0" fillId="0" borderId="22" xfId="1" applyFont="1" applyBorder="1">
      <alignment vertical="center"/>
    </xf>
    <xf numFmtId="0" fontId="0" fillId="0" borderId="23" xfId="0" applyBorder="1">
      <alignment vertical="center"/>
    </xf>
    <xf numFmtId="38" fontId="0" fillId="6" borderId="22" xfId="1" applyFont="1" applyFill="1" applyBorder="1">
      <alignment vertical="center"/>
    </xf>
    <xf numFmtId="0" fontId="0" fillId="5" borderId="7" xfId="0" applyFill="1" applyBorder="1" applyAlignment="1">
      <alignment horizontal="center" vertical="center"/>
    </xf>
    <xf numFmtId="0" fontId="0" fillId="0" borderId="7" xfId="0" applyBorder="1" applyAlignment="1">
      <alignment horizontal="centerContinuous" vertical="center"/>
    </xf>
    <xf numFmtId="38" fontId="0" fillId="2" borderId="24" xfId="1" applyFont="1" applyFill="1" applyBorder="1">
      <alignment vertical="center"/>
    </xf>
    <xf numFmtId="38" fontId="0" fillId="2" borderId="25" xfId="1" applyFont="1" applyFill="1" applyBorder="1">
      <alignment vertical="center"/>
    </xf>
    <xf numFmtId="38" fontId="0" fillId="0" borderId="7" xfId="1" applyFont="1" applyFill="1" applyBorder="1" applyAlignment="1">
      <alignment horizontal="center" vertical="center"/>
    </xf>
    <xf numFmtId="38" fontId="0" fillId="5" borderId="20" xfId="1" applyFont="1" applyFill="1" applyBorder="1">
      <alignment vertical="center"/>
    </xf>
    <xf numFmtId="38" fontId="0" fillId="6" borderId="20" xfId="1" applyFont="1" applyFill="1" applyBorder="1">
      <alignment vertical="center"/>
    </xf>
    <xf numFmtId="38" fontId="0" fillId="6" borderId="21" xfId="1" applyFont="1" applyFill="1" applyBorder="1">
      <alignment vertical="center"/>
    </xf>
    <xf numFmtId="38" fontId="0" fillId="6" borderId="23" xfId="1" applyFont="1" applyFill="1" applyBorder="1">
      <alignment vertical="center"/>
    </xf>
    <xf numFmtId="177" fontId="0" fillId="5" borderId="7" xfId="1" applyNumberFormat="1" applyFont="1" applyFill="1" applyBorder="1">
      <alignment vertical="center"/>
    </xf>
    <xf numFmtId="3" fontId="0" fillId="0" borderId="0" xfId="0" applyNumberFormat="1">
      <alignment vertical="center"/>
    </xf>
    <xf numFmtId="38" fontId="0" fillId="0" borderId="7" xfId="1" applyFont="1" applyBorder="1">
      <alignment vertical="center"/>
    </xf>
    <xf numFmtId="38" fontId="0" fillId="0" borderId="7" xfId="1" applyFont="1" applyBorder="1" applyAlignment="1">
      <alignment horizontal="center" vertical="center"/>
    </xf>
    <xf numFmtId="38" fontId="0" fillId="0" borderId="0" xfId="1" applyFont="1" applyBorder="1" applyAlignment="1">
      <alignment horizontal="center" vertical="center"/>
    </xf>
    <xf numFmtId="0" fontId="0" fillId="0" borderId="7" xfId="0" applyBorder="1" applyAlignment="1">
      <alignment vertical="center"/>
    </xf>
    <xf numFmtId="38" fontId="0" fillId="0" borderId="7" xfId="1" quotePrefix="1" applyFont="1" applyBorder="1" applyAlignment="1">
      <alignment vertical="center" wrapText="1"/>
    </xf>
    <xf numFmtId="177" fontId="0" fillId="0" borderId="7" xfId="1" applyNumberFormat="1" applyFont="1" applyBorder="1">
      <alignment vertical="center"/>
    </xf>
    <xf numFmtId="38" fontId="0" fillId="0" borderId="7" xfId="0" applyNumberFormat="1" applyBorder="1">
      <alignment vertical="center"/>
    </xf>
    <xf numFmtId="9" fontId="0" fillId="5" borderId="7" xfId="0" applyNumberFormat="1" applyFill="1" applyBorder="1">
      <alignment vertical="center"/>
    </xf>
    <xf numFmtId="38" fontId="0" fillId="5" borderId="7" xfId="1" applyFont="1" applyFill="1" applyBorder="1">
      <alignment vertical="center"/>
    </xf>
    <xf numFmtId="0" fontId="0" fillId="0" borderId="0" xfId="0" applyAlignment="1">
      <alignment horizontal="center" vertical="center"/>
    </xf>
    <xf numFmtId="38" fontId="0" fillId="0" borderId="20" xfId="1" applyFont="1" applyBorder="1">
      <alignment vertical="center"/>
    </xf>
    <xf numFmtId="38" fontId="0" fillId="0" borderId="23" xfId="1" applyFont="1" applyBorder="1">
      <alignment vertical="center"/>
    </xf>
    <xf numFmtId="38" fontId="0" fillId="0" borderId="13" xfId="1" applyFont="1" applyBorder="1" applyAlignment="1">
      <alignment horizontal="center" vertical="center"/>
    </xf>
    <xf numFmtId="38" fontId="0" fillId="0" borderId="16" xfId="1" applyFont="1" applyBorder="1" applyAlignment="1">
      <alignment horizontal="center" vertical="center"/>
    </xf>
    <xf numFmtId="38" fontId="0" fillId="5" borderId="20" xfId="1" applyFont="1" applyFill="1" applyBorder="1" applyAlignment="1">
      <alignment horizontal="center" vertical="center"/>
    </xf>
    <xf numFmtId="38" fontId="0" fillId="0" borderId="21" xfId="1" applyFont="1" applyBorder="1" applyAlignment="1">
      <alignment horizontal="center" vertical="center"/>
    </xf>
    <xf numFmtId="38" fontId="0" fillId="0" borderId="22" xfId="1" applyFont="1" applyBorder="1" applyAlignment="1">
      <alignment horizontal="center" vertical="center"/>
    </xf>
    <xf numFmtId="38" fontId="0" fillId="6" borderId="20" xfId="1" applyFont="1" applyFill="1" applyBorder="1" applyAlignment="1">
      <alignment horizontal="center" vertical="center"/>
    </xf>
    <xf numFmtId="38" fontId="0" fillId="6" borderId="21" xfId="1" applyFont="1" applyFill="1" applyBorder="1" applyAlignment="1">
      <alignment horizontal="center" vertical="center"/>
    </xf>
    <xf numFmtId="38" fontId="0" fillId="6" borderId="23" xfId="1" applyFont="1" applyFill="1" applyBorder="1" applyAlignment="1">
      <alignment horizontal="center" vertical="center"/>
    </xf>
    <xf numFmtId="38" fontId="0" fillId="6" borderId="22" xfId="1" applyFont="1" applyFill="1" applyBorder="1" applyAlignment="1">
      <alignment horizontal="center" vertical="center"/>
    </xf>
    <xf numFmtId="38" fontId="0" fillId="0" borderId="0" xfId="1" applyFont="1" applyAlignment="1">
      <alignment horizontal="center" vertical="center"/>
    </xf>
    <xf numFmtId="0" fontId="0" fillId="0" borderId="18" xfId="0" applyBorder="1" applyAlignment="1">
      <alignment horizontal="centerContinuous" vertical="center"/>
    </xf>
    <xf numFmtId="0" fontId="0" fillId="0" borderId="1" xfId="0" applyBorder="1" applyAlignment="1">
      <alignment horizontal="centerContinuous" vertical="center"/>
    </xf>
    <xf numFmtId="0" fontId="0" fillId="0" borderId="19" xfId="0" applyBorder="1" applyAlignment="1">
      <alignment horizontal="centerContinuous" vertical="center"/>
    </xf>
    <xf numFmtId="0" fontId="0" fillId="7" borderId="7" xfId="0" applyFill="1" applyBorder="1">
      <alignment vertical="center"/>
    </xf>
    <xf numFmtId="0" fontId="0" fillId="0" borderId="7" xfId="0" applyFill="1" applyBorder="1">
      <alignment vertical="center"/>
    </xf>
    <xf numFmtId="38" fontId="0" fillId="5" borderId="7" xfId="1" applyFont="1" applyFill="1" applyBorder="1" applyAlignment="1">
      <alignment horizontal="center" vertical="center"/>
    </xf>
    <xf numFmtId="38" fontId="0" fillId="0" borderId="0" xfId="0" applyNumberFormat="1">
      <alignment vertical="center"/>
    </xf>
    <xf numFmtId="0" fontId="0" fillId="0" borderId="0" xfId="0" applyBorder="1">
      <alignment vertical="center"/>
    </xf>
    <xf numFmtId="0" fontId="0" fillId="7" borderId="0" xfId="0" applyFill="1">
      <alignment vertical="center"/>
    </xf>
    <xf numFmtId="2" fontId="0" fillId="7" borderId="7" xfId="0" applyNumberFormat="1" applyFill="1" applyBorder="1">
      <alignment vertical="center"/>
    </xf>
    <xf numFmtId="40" fontId="0" fillId="0" borderId="7" xfId="0" applyNumberFormat="1" applyBorder="1">
      <alignment vertical="center"/>
    </xf>
    <xf numFmtId="177" fontId="0" fillId="0" borderId="0" xfId="0" applyNumberFormat="1">
      <alignment vertical="center"/>
    </xf>
    <xf numFmtId="0" fontId="0" fillId="0" borderId="7" xfId="0" applyFill="1" applyBorder="1" applyAlignment="1">
      <alignment horizontal="center" vertical="center"/>
    </xf>
    <xf numFmtId="38" fontId="0" fillId="7" borderId="0" xfId="1" applyFont="1" applyFill="1">
      <alignment vertical="center"/>
    </xf>
    <xf numFmtId="38" fontId="0" fillId="7" borderId="0" xfId="0" applyNumberFormat="1" applyFill="1">
      <alignment vertical="center"/>
    </xf>
    <xf numFmtId="9" fontId="0" fillId="0" borderId="0" xfId="0" applyNumberFormat="1">
      <alignment vertical="center"/>
    </xf>
    <xf numFmtId="10" fontId="0" fillId="0" borderId="0" xfId="0" applyNumberFormat="1">
      <alignment vertical="center"/>
    </xf>
    <xf numFmtId="38" fontId="0" fillId="0" borderId="0" xfId="1" quotePrefix="1" applyFont="1" applyBorder="1" applyAlignment="1">
      <alignment vertical="center" wrapText="1"/>
    </xf>
    <xf numFmtId="38" fontId="0" fillId="0" borderId="7" xfId="1" applyFont="1" applyFill="1" applyBorder="1">
      <alignment vertical="center"/>
    </xf>
    <xf numFmtId="178" fontId="0" fillId="3" borderId="2" xfId="2" applyNumberFormat="1" applyFont="1" applyFill="1" applyBorder="1" applyAlignment="1">
      <alignment horizontal="right" vertical="center"/>
    </xf>
    <xf numFmtId="0" fontId="0" fillId="5" borderId="19" xfId="0" applyFill="1" applyBorder="1">
      <alignment vertical="center"/>
    </xf>
    <xf numFmtId="38" fontId="0" fillId="0" borderId="0" xfId="1" applyFont="1" applyBorder="1" applyAlignment="1">
      <alignment vertical="center" textRotation="90"/>
    </xf>
    <xf numFmtId="176" fontId="0" fillId="0" borderId="26" xfId="1" applyNumberFormat="1" applyFont="1" applyBorder="1" applyAlignment="1">
      <alignment horizontal="center" vertical="center"/>
    </xf>
    <xf numFmtId="176" fontId="0" fillId="0" borderId="28" xfId="1" applyNumberFormat="1" applyFont="1" applyBorder="1" applyAlignment="1">
      <alignment vertical="center" textRotation="90" wrapText="1"/>
    </xf>
    <xf numFmtId="176" fontId="0" fillId="4" borderId="16" xfId="1" applyNumberFormat="1" applyFont="1" applyFill="1" applyBorder="1" applyAlignment="1">
      <alignment vertical="center" textRotation="90"/>
    </xf>
    <xf numFmtId="176" fontId="0" fillId="0" borderId="28" xfId="1" applyNumberFormat="1" applyFont="1" applyBorder="1" applyAlignment="1">
      <alignment vertical="center" textRotation="90"/>
    </xf>
    <xf numFmtId="176" fontId="0" fillId="0" borderId="27" xfId="1" applyNumberFormat="1" applyFont="1" applyBorder="1" applyAlignment="1">
      <alignment vertical="center" textRotation="90"/>
    </xf>
    <xf numFmtId="176" fontId="0" fillId="2" borderId="27" xfId="1" applyNumberFormat="1" applyFont="1" applyFill="1" applyBorder="1" applyAlignment="1">
      <alignment vertical="center" textRotation="90"/>
    </xf>
    <xf numFmtId="176" fontId="0" fillId="0" borderId="26" xfId="1" applyNumberFormat="1" applyFont="1" applyBorder="1" applyAlignment="1">
      <alignment vertical="center" textRotation="90"/>
    </xf>
    <xf numFmtId="176" fontId="0" fillId="3" borderId="27" xfId="0" applyNumberFormat="1" applyFill="1" applyBorder="1" applyAlignment="1">
      <alignment vertical="center" textRotation="90"/>
    </xf>
    <xf numFmtId="38" fontId="0" fillId="0" borderId="26" xfId="1" applyFont="1" applyBorder="1" applyAlignment="1">
      <alignment vertical="center" textRotation="90"/>
    </xf>
    <xf numFmtId="38" fontId="0" fillId="0" borderId="28" xfId="1" applyFont="1" applyBorder="1" applyAlignment="1">
      <alignment vertical="center" textRotation="90"/>
    </xf>
    <xf numFmtId="38" fontId="0" fillId="0" borderId="27" xfId="1" applyFont="1" applyBorder="1" applyAlignment="1">
      <alignment vertical="center" textRotation="90"/>
    </xf>
    <xf numFmtId="0" fontId="0" fillId="3" borderId="27" xfId="0" applyFill="1" applyBorder="1" applyAlignment="1">
      <alignment vertical="center" textRotation="90"/>
    </xf>
    <xf numFmtId="38" fontId="0" fillId="2" borderId="27" xfId="1" applyFont="1" applyFill="1" applyBorder="1" applyAlignment="1">
      <alignment vertical="center" textRotation="90"/>
    </xf>
    <xf numFmtId="38" fontId="0" fillId="0" borderId="26" xfId="1" applyFont="1" applyBorder="1" applyAlignment="1">
      <alignment horizontal="center" vertical="center"/>
    </xf>
    <xf numFmtId="38" fontId="0" fillId="4" borderId="16" xfId="1" applyFont="1" applyFill="1" applyBorder="1" applyAlignment="1">
      <alignment vertical="center" textRotation="90"/>
    </xf>
    <xf numFmtId="0" fontId="0" fillId="0" borderId="28" xfId="0" applyBorder="1" applyAlignment="1">
      <alignment vertical="center" textRotation="90"/>
    </xf>
    <xf numFmtId="38" fontId="0" fillId="0" borderId="28" xfId="1" applyFont="1" applyBorder="1" applyAlignment="1">
      <alignment vertical="center" textRotation="90" wrapText="1"/>
    </xf>
    <xf numFmtId="38" fontId="0" fillId="2" borderId="29" xfId="1" applyFont="1" applyFill="1" applyBorder="1">
      <alignment vertical="center"/>
    </xf>
    <xf numFmtId="176" fontId="0" fillId="2" borderId="27" xfId="1" applyNumberFormat="1" applyFont="1" applyFill="1" applyBorder="1" applyAlignment="1">
      <alignment vertical="center"/>
    </xf>
    <xf numFmtId="38" fontId="0" fillId="0" borderId="7" xfId="1" applyFont="1" applyBorder="1" applyAlignment="1">
      <alignment horizontal="center" vertical="center"/>
    </xf>
    <xf numFmtId="177" fontId="0" fillId="0" borderId="0" xfId="1" applyNumberFormat="1" applyFont="1" applyAlignment="1">
      <alignment vertical="center"/>
    </xf>
    <xf numFmtId="177" fontId="0" fillId="7" borderId="0" xfId="1" applyNumberFormat="1" applyFont="1" applyFill="1">
      <alignment vertical="center"/>
    </xf>
    <xf numFmtId="177" fontId="0" fillId="7" borderId="0" xfId="0" applyNumberFormat="1" applyFill="1">
      <alignment vertical="center"/>
    </xf>
    <xf numFmtId="9" fontId="0" fillId="3" borderId="2" xfId="2" applyFont="1" applyFill="1" applyBorder="1" applyAlignment="1">
      <alignment horizontal="right" vertical="center"/>
    </xf>
    <xf numFmtId="38" fontId="0" fillId="0" borderId="28" xfId="1" applyFont="1" applyBorder="1" applyAlignment="1">
      <alignment vertical="center"/>
    </xf>
    <xf numFmtId="0" fontId="0" fillId="0" borderId="0" xfId="0" applyFill="1">
      <alignment vertical="center"/>
    </xf>
    <xf numFmtId="9" fontId="0" fillId="0" borderId="0" xfId="0" applyNumberFormat="1" applyFill="1">
      <alignment vertical="center"/>
    </xf>
    <xf numFmtId="9" fontId="0" fillId="0" borderId="0" xfId="2" applyFont="1" applyFill="1">
      <alignment vertical="center"/>
    </xf>
    <xf numFmtId="10" fontId="0" fillId="0" borderId="0" xfId="0" applyNumberFormat="1" applyFill="1">
      <alignment vertical="center"/>
    </xf>
    <xf numFmtId="38" fontId="0" fillId="0" borderId="0" xfId="1" applyFont="1" applyFill="1">
      <alignment vertical="center"/>
    </xf>
    <xf numFmtId="38" fontId="0" fillId="0" borderId="0" xfId="0" applyNumberFormat="1" applyFill="1">
      <alignment vertical="center"/>
    </xf>
    <xf numFmtId="179" fontId="0" fillId="0" borderId="0" xfId="0" applyNumberFormat="1" applyFill="1">
      <alignment vertical="center"/>
    </xf>
    <xf numFmtId="9" fontId="0" fillId="0" borderId="7" xfId="2" applyFont="1" applyFill="1" applyBorder="1">
      <alignment vertical="center"/>
    </xf>
    <xf numFmtId="178" fontId="0" fillId="2" borderId="2" xfId="2" applyNumberFormat="1" applyFont="1" applyFill="1" applyBorder="1" applyAlignment="1">
      <alignment horizontal="right" vertical="center"/>
    </xf>
    <xf numFmtId="0" fontId="0" fillId="0" borderId="4" xfId="0" applyBorder="1">
      <alignment vertical="center"/>
    </xf>
    <xf numFmtId="176" fontId="0" fillId="0" borderId="8" xfId="1" applyNumberFormat="1" applyFont="1" applyBorder="1" applyAlignment="1">
      <alignment vertical="center" textRotation="90" wrapText="1"/>
    </xf>
    <xf numFmtId="176" fontId="0" fillId="0" borderId="9" xfId="1" applyNumberFormat="1" applyFont="1" applyBorder="1" applyAlignment="1">
      <alignment vertical="center" textRotation="90" wrapText="1"/>
    </xf>
    <xf numFmtId="176" fontId="0" fillId="2" borderId="16" xfId="1" applyNumberFormat="1" applyFont="1" applyFill="1" applyBorder="1">
      <alignment vertical="center"/>
    </xf>
    <xf numFmtId="38" fontId="0" fillId="0" borderId="26" xfId="1" applyFont="1" applyBorder="1">
      <alignment vertical="center"/>
    </xf>
    <xf numFmtId="38" fontId="0" fillId="0" borderId="28" xfId="1" applyFont="1" applyBorder="1">
      <alignment vertical="center"/>
    </xf>
    <xf numFmtId="38" fontId="0" fillId="2" borderId="27" xfId="1" applyFont="1" applyFill="1" applyBorder="1">
      <alignment vertical="center"/>
    </xf>
    <xf numFmtId="0" fontId="0" fillId="8" borderId="7" xfId="0" applyFill="1" applyBorder="1">
      <alignment vertical="center"/>
    </xf>
    <xf numFmtId="9" fontId="0" fillId="3" borderId="18" xfId="2" applyFont="1" applyFill="1" applyBorder="1" applyAlignment="1">
      <alignment horizontal="right" vertical="center"/>
    </xf>
    <xf numFmtId="178" fontId="0" fillId="2" borderId="13" xfId="2" applyNumberFormat="1" applyFont="1" applyFill="1" applyBorder="1" applyAlignment="1">
      <alignment horizontal="right" vertical="center"/>
    </xf>
    <xf numFmtId="9" fontId="0" fillId="3" borderId="7" xfId="2" applyFont="1" applyFill="1" applyBorder="1" applyAlignment="1">
      <alignment horizontal="right" vertical="center"/>
    </xf>
    <xf numFmtId="0" fontId="0" fillId="0" borderId="18" xfId="0" applyBorder="1">
      <alignment vertical="center"/>
    </xf>
    <xf numFmtId="177" fontId="0" fillId="9" borderId="7" xfId="1" applyNumberFormat="1" applyFont="1" applyFill="1" applyBorder="1">
      <alignment vertical="center"/>
    </xf>
    <xf numFmtId="38" fontId="0" fillId="10" borderId="7" xfId="1" applyFont="1" applyFill="1" applyBorder="1">
      <alignment vertical="center"/>
    </xf>
    <xf numFmtId="0" fontId="0" fillId="10" borderId="7" xfId="0" applyFill="1" applyBorder="1">
      <alignment vertical="center"/>
    </xf>
    <xf numFmtId="0" fontId="0" fillId="0" borderId="0" xfId="0" applyFill="1" applyBorder="1">
      <alignment vertical="center"/>
    </xf>
    <xf numFmtId="38" fontId="0" fillId="0" borderId="4" xfId="1" applyFont="1" applyBorder="1">
      <alignment vertical="center"/>
    </xf>
    <xf numFmtId="38" fontId="0" fillId="0" borderId="4" xfId="1" applyFont="1" applyBorder="1" applyAlignment="1">
      <alignment horizontal="center" vertical="center"/>
    </xf>
    <xf numFmtId="0" fontId="0" fillId="0" borderId="30" xfId="0" applyBorder="1">
      <alignment vertical="center"/>
    </xf>
    <xf numFmtId="38" fontId="0" fillId="0" borderId="30" xfId="1" applyFont="1"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0" fillId="0" borderId="40" xfId="0" applyBorder="1">
      <alignment vertical="center"/>
    </xf>
    <xf numFmtId="0" fontId="0" fillId="0" borderId="41" xfId="0" applyBorder="1">
      <alignment vertical="center"/>
    </xf>
    <xf numFmtId="177" fontId="0" fillId="0" borderId="0" xfId="1" applyNumberFormat="1" applyFont="1" applyBorder="1">
      <alignment vertical="center"/>
    </xf>
    <xf numFmtId="38" fontId="0" fillId="5" borderId="19" xfId="1" applyFont="1" applyFill="1" applyBorder="1">
      <alignment vertical="center"/>
    </xf>
    <xf numFmtId="177" fontId="0" fillId="8" borderId="7" xfId="1" applyNumberFormat="1" applyFont="1" applyFill="1" applyBorder="1">
      <alignment vertical="center"/>
    </xf>
    <xf numFmtId="0" fontId="0" fillId="3" borderId="7" xfId="0" applyFill="1" applyBorder="1" applyAlignment="1">
      <alignment vertical="center" shrinkToFit="1"/>
    </xf>
    <xf numFmtId="177" fontId="0" fillId="3" borderId="7" xfId="1" applyNumberFormat="1" applyFont="1" applyFill="1" applyBorder="1">
      <alignment vertical="center"/>
    </xf>
    <xf numFmtId="0" fontId="0" fillId="11" borderId="7" xfId="0" applyFill="1" applyBorder="1" applyAlignment="1">
      <alignment horizontal="center" vertical="center"/>
    </xf>
    <xf numFmtId="38" fontId="0" fillId="8" borderId="7" xfId="1" applyFont="1" applyFill="1" applyBorder="1">
      <alignment vertical="center"/>
    </xf>
    <xf numFmtId="38" fontId="0" fillId="11" borderId="7" xfId="1" applyFont="1" applyFill="1" applyBorder="1">
      <alignment vertical="center"/>
    </xf>
    <xf numFmtId="0" fontId="0" fillId="12" borderId="7" xfId="0" applyFill="1" applyBorder="1" applyAlignment="1">
      <alignment horizontal="center" vertical="center"/>
    </xf>
    <xf numFmtId="9" fontId="0" fillId="0" borderId="7" xfId="2" applyFont="1" applyBorder="1">
      <alignment vertical="center"/>
    </xf>
    <xf numFmtId="0" fontId="0" fillId="0" borderId="42" xfId="0" applyBorder="1">
      <alignment vertical="center"/>
    </xf>
    <xf numFmtId="38" fontId="0" fillId="0" borderId="43" xfId="1" applyFont="1" applyBorder="1">
      <alignment vertical="center"/>
    </xf>
    <xf numFmtId="38" fontId="0" fillId="2" borderId="44" xfId="1" applyFont="1" applyFill="1" applyBorder="1">
      <alignment vertical="center"/>
    </xf>
    <xf numFmtId="38" fontId="0" fillId="13" borderId="7" xfId="1" applyFont="1" applyFill="1" applyBorder="1">
      <alignment vertical="center"/>
    </xf>
    <xf numFmtId="10" fontId="0" fillId="13" borderId="7" xfId="0" applyNumberFormat="1" applyFill="1" applyBorder="1">
      <alignment vertical="center"/>
    </xf>
    <xf numFmtId="38" fontId="0" fillId="11" borderId="7" xfId="0" applyNumberFormat="1" applyFill="1" applyBorder="1">
      <alignment vertical="center"/>
    </xf>
    <xf numFmtId="38" fontId="0" fillId="0" borderId="0" xfId="1" applyFont="1" applyFill="1" applyBorder="1">
      <alignment vertical="center"/>
    </xf>
    <xf numFmtId="38" fontId="0" fillId="0" borderId="46" xfId="1" applyFont="1" applyFill="1" applyBorder="1">
      <alignment vertical="center"/>
    </xf>
    <xf numFmtId="38" fontId="0" fillId="0" borderId="47" xfId="1" applyFont="1" applyFill="1" applyBorder="1">
      <alignment vertical="center"/>
    </xf>
    <xf numFmtId="38" fontId="0" fillId="0" borderId="12" xfId="1" applyFont="1" applyBorder="1">
      <alignment vertical="center"/>
    </xf>
    <xf numFmtId="0" fontId="0" fillId="0" borderId="46" xfId="0" applyBorder="1">
      <alignment vertical="center"/>
    </xf>
    <xf numFmtId="0" fontId="0" fillId="0" borderId="47" xfId="0" applyBorder="1">
      <alignment vertical="center"/>
    </xf>
    <xf numFmtId="38" fontId="0" fillId="0" borderId="46" xfId="1" applyFont="1" applyBorder="1">
      <alignment vertical="center"/>
    </xf>
    <xf numFmtId="38" fontId="0" fillId="0" borderId="47" xfId="1" applyFont="1" applyBorder="1">
      <alignment vertical="center"/>
    </xf>
    <xf numFmtId="0" fontId="0" fillId="14" borderId="40" xfId="0" applyFill="1" applyBorder="1">
      <alignment vertical="center"/>
    </xf>
    <xf numFmtId="0" fontId="0" fillId="14" borderId="41" xfId="0" applyFill="1" applyBorder="1">
      <alignment vertical="center"/>
    </xf>
    <xf numFmtId="0" fontId="0" fillId="14" borderId="39" xfId="0" applyFill="1" applyBorder="1">
      <alignment vertical="center"/>
    </xf>
    <xf numFmtId="177" fontId="0" fillId="14" borderId="40" xfId="1" applyNumberFormat="1" applyFont="1" applyFill="1" applyBorder="1">
      <alignment vertical="center"/>
    </xf>
    <xf numFmtId="0" fontId="0" fillId="14" borderId="0" xfId="0" applyFill="1" applyBorder="1">
      <alignment vertical="center"/>
    </xf>
    <xf numFmtId="0" fontId="0" fillId="14" borderId="35" xfId="0" applyFill="1" applyBorder="1">
      <alignment vertical="center"/>
    </xf>
    <xf numFmtId="0" fontId="0" fillId="14" borderId="34" xfId="0" applyFill="1" applyBorder="1">
      <alignment vertical="center"/>
    </xf>
    <xf numFmtId="0" fontId="0" fillId="14" borderId="0" xfId="0" applyFill="1">
      <alignment vertical="center"/>
    </xf>
    <xf numFmtId="177" fontId="0" fillId="14" borderId="0" xfId="1" applyNumberFormat="1" applyFont="1" applyFill="1" applyBorder="1">
      <alignment vertical="center"/>
    </xf>
    <xf numFmtId="0" fontId="0" fillId="14" borderId="37" xfId="0" applyFill="1" applyBorder="1">
      <alignment vertical="center"/>
    </xf>
    <xf numFmtId="0" fontId="0" fillId="14" borderId="38" xfId="0" applyFill="1" applyBorder="1">
      <alignment vertical="center"/>
    </xf>
    <xf numFmtId="0" fontId="0" fillId="14" borderId="36" xfId="0" applyFill="1" applyBorder="1">
      <alignment vertical="center"/>
    </xf>
    <xf numFmtId="0" fontId="5" fillId="0" borderId="0" xfId="0" applyFont="1">
      <alignment vertical="center"/>
    </xf>
    <xf numFmtId="0" fontId="5" fillId="0" borderId="0" xfId="0" applyFont="1" applyBorder="1">
      <alignment vertical="center"/>
    </xf>
    <xf numFmtId="0" fontId="0" fillId="2" borderId="7" xfId="0" applyFill="1" applyBorder="1">
      <alignment vertical="center"/>
    </xf>
    <xf numFmtId="177" fontId="0" fillId="2" borderId="7" xfId="1" applyNumberFormat="1" applyFont="1" applyFill="1" applyBorder="1">
      <alignment vertical="center"/>
    </xf>
    <xf numFmtId="9" fontId="0" fillId="14" borderId="45" xfId="0" applyNumberFormat="1" applyFill="1" applyBorder="1">
      <alignment vertical="center"/>
    </xf>
    <xf numFmtId="177" fontId="0" fillId="5" borderId="7" xfId="1" applyNumberFormat="1" applyFont="1" applyFill="1" applyBorder="1" applyAlignment="1">
      <alignment horizontal="center" vertical="center"/>
    </xf>
    <xf numFmtId="0" fontId="0" fillId="0" borderId="7" xfId="0" applyFill="1" applyBorder="1" applyAlignment="1">
      <alignment horizontal="right" vertical="center"/>
    </xf>
    <xf numFmtId="0" fontId="0" fillId="14" borderId="0" xfId="0" applyFill="1" applyBorder="1" applyAlignment="1">
      <alignment horizontal="right" vertical="center"/>
    </xf>
    <xf numFmtId="3" fontId="0" fillId="0" borderId="0" xfId="0" applyNumberFormat="1" applyAlignment="1">
      <alignment horizontal="center" vertical="center"/>
    </xf>
    <xf numFmtId="0" fontId="0" fillId="0" borderId="0" xfId="0" applyAlignment="1">
      <alignment vertical="center"/>
    </xf>
    <xf numFmtId="3" fontId="0" fillId="0" borderId="0" xfId="0" applyNumberFormat="1" applyAlignment="1">
      <alignment vertical="center"/>
    </xf>
    <xf numFmtId="0" fontId="0" fillId="0" borderId="13" xfId="0" applyBorder="1" applyAlignment="1">
      <alignment horizontal="centerContinuous" vertical="center"/>
    </xf>
    <xf numFmtId="0" fontId="0" fillId="5" borderId="13" xfId="0" applyFill="1" applyBorder="1" applyAlignment="1">
      <alignment horizontal="center" vertical="center"/>
    </xf>
    <xf numFmtId="0" fontId="0" fillId="0" borderId="48" xfId="0" applyBorder="1" applyAlignment="1">
      <alignment horizontal="center" vertical="center"/>
    </xf>
    <xf numFmtId="0" fontId="0" fillId="0" borderId="29" xfId="0" applyBorder="1" applyAlignment="1">
      <alignment horizontal="centerContinuous" vertical="center"/>
    </xf>
    <xf numFmtId="0" fontId="0" fillId="5" borderId="29" xfId="0" applyFill="1" applyBorder="1" applyAlignment="1">
      <alignment horizontal="center" vertical="center"/>
    </xf>
    <xf numFmtId="0" fontId="0" fillId="5" borderId="49" xfId="0" applyFill="1" applyBorder="1" applyAlignment="1">
      <alignment horizontal="center" vertical="center"/>
    </xf>
    <xf numFmtId="0" fontId="0" fillId="0" borderId="50" xfId="0" applyBorder="1" applyAlignment="1">
      <alignment horizontal="center" vertical="center"/>
    </xf>
    <xf numFmtId="0" fontId="0" fillId="5" borderId="51" xfId="0" applyFill="1"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Continuous" vertical="center"/>
    </xf>
    <xf numFmtId="0" fontId="0" fillId="5" borderId="53" xfId="0" applyFill="1" applyBorder="1" applyAlignment="1">
      <alignment horizontal="center" vertical="center"/>
    </xf>
    <xf numFmtId="0" fontId="0" fillId="5" borderId="54" xfId="0" applyFill="1" applyBorder="1" applyAlignment="1">
      <alignment horizontal="center" vertical="center"/>
    </xf>
    <xf numFmtId="0" fontId="0" fillId="5" borderId="55" xfId="0" applyFill="1" applyBorder="1" applyAlignment="1">
      <alignment horizontal="center" vertical="center"/>
    </xf>
    <xf numFmtId="0" fontId="0" fillId="0" borderId="0" xfId="0" applyBorder="1" applyAlignment="1">
      <alignment horizontal="centerContinuous" vertical="center"/>
    </xf>
    <xf numFmtId="0" fontId="0" fillId="15" borderId="7" xfId="0" applyFill="1" applyBorder="1">
      <alignment vertical="center"/>
    </xf>
    <xf numFmtId="38" fontId="0" fillId="15" borderId="7" xfId="1" applyFont="1" applyFill="1" applyBorder="1">
      <alignment vertical="center"/>
    </xf>
    <xf numFmtId="0" fontId="0" fillId="15" borderId="18" xfId="0" applyFill="1" applyBorder="1">
      <alignment vertical="center"/>
    </xf>
    <xf numFmtId="0" fontId="0" fillId="3" borderId="12" xfId="0" applyFill="1" applyBorder="1">
      <alignment vertical="center"/>
    </xf>
    <xf numFmtId="0" fontId="0" fillId="3" borderId="3" xfId="0" applyFill="1" applyBorder="1">
      <alignment vertical="center"/>
    </xf>
    <xf numFmtId="0" fontId="0" fillId="3" borderId="26" xfId="0" applyFill="1" applyBorder="1">
      <alignment vertical="center"/>
    </xf>
    <xf numFmtId="0" fontId="0" fillId="3" borderId="19" xfId="0" applyFill="1" applyBorder="1">
      <alignment vertical="center"/>
    </xf>
    <xf numFmtId="0" fontId="0" fillId="5" borderId="12" xfId="0" applyFill="1" applyBorder="1">
      <alignment vertical="center"/>
    </xf>
    <xf numFmtId="0" fontId="0" fillId="5" borderId="3" xfId="0" applyFill="1" applyBorder="1">
      <alignment vertical="center"/>
    </xf>
    <xf numFmtId="0" fontId="0" fillId="5" borderId="26" xfId="0" applyFill="1" applyBorder="1">
      <alignment vertical="center"/>
    </xf>
    <xf numFmtId="0" fontId="0" fillId="5" borderId="28" xfId="0" applyFill="1" applyBorder="1">
      <alignment vertical="center"/>
    </xf>
    <xf numFmtId="38" fontId="7" fillId="5" borderId="7" xfId="1" applyFont="1" applyFill="1" applyBorder="1">
      <alignment vertical="center"/>
    </xf>
    <xf numFmtId="0" fontId="0" fillId="0" borderId="19" xfId="0" applyBorder="1">
      <alignment vertical="center"/>
    </xf>
    <xf numFmtId="0" fontId="0" fillId="2" borderId="18" xfId="0" applyFill="1" applyBorder="1">
      <alignment vertical="center"/>
    </xf>
    <xf numFmtId="0" fontId="0" fillId="2" borderId="1" xfId="0" applyFill="1" applyBorder="1">
      <alignment vertical="center"/>
    </xf>
    <xf numFmtId="38" fontId="0" fillId="2" borderId="7" xfId="1" applyFont="1" applyFill="1" applyBorder="1">
      <alignment vertical="center"/>
    </xf>
    <xf numFmtId="0" fontId="0" fillId="15" borderId="1" xfId="0" applyFill="1" applyBorder="1">
      <alignment vertical="center"/>
    </xf>
    <xf numFmtId="0" fontId="0" fillId="15" borderId="18" xfId="0" applyFill="1" applyBorder="1" applyAlignment="1">
      <alignment horizontal="centerContinuous" vertical="center"/>
    </xf>
    <xf numFmtId="0" fontId="0" fillId="15" borderId="19" xfId="0" applyFill="1" applyBorder="1" applyAlignment="1">
      <alignment horizontal="centerContinuous" vertical="center"/>
    </xf>
    <xf numFmtId="0" fontId="0" fillId="15" borderId="13" xfId="0" applyFill="1" applyBorder="1" applyAlignment="1">
      <alignment horizontal="centerContinuous" vertical="center"/>
    </xf>
    <xf numFmtId="0" fontId="0" fillId="15" borderId="1" xfId="0" applyFill="1" applyBorder="1" applyAlignment="1">
      <alignment horizontal="centerContinuous" vertical="center"/>
    </xf>
    <xf numFmtId="38" fontId="0" fillId="15" borderId="7" xfId="1" applyFont="1" applyFill="1" applyBorder="1" applyAlignment="1">
      <alignment horizontal="centerContinuous" vertical="center"/>
    </xf>
    <xf numFmtId="0" fontId="7" fillId="2" borderId="18" xfId="0" applyFont="1" applyFill="1" applyBorder="1">
      <alignment vertical="center"/>
    </xf>
    <xf numFmtId="0" fontId="7" fillId="2" borderId="1" xfId="0" applyFont="1" applyFill="1" applyBorder="1">
      <alignment vertical="center"/>
    </xf>
    <xf numFmtId="38" fontId="7" fillId="2" borderId="7" xfId="1" applyFont="1" applyFill="1" applyBorder="1">
      <alignment vertical="center"/>
    </xf>
    <xf numFmtId="38" fontId="0" fillId="15" borderId="13" xfId="1" applyFont="1" applyFill="1" applyBorder="1" applyAlignment="1">
      <alignment horizontal="centerContinuous" vertical="center"/>
    </xf>
    <xf numFmtId="0" fontId="7" fillId="5" borderId="26" xfId="0" applyFont="1" applyFill="1" applyBorder="1">
      <alignment vertical="center"/>
    </xf>
    <xf numFmtId="0" fontId="7" fillId="5" borderId="28" xfId="0" applyFont="1" applyFill="1" applyBorder="1">
      <alignment vertical="center"/>
    </xf>
    <xf numFmtId="38" fontId="7" fillId="5" borderId="7" xfId="0" applyNumberFormat="1" applyFont="1" applyFill="1" applyBorder="1">
      <alignment vertical="center"/>
    </xf>
    <xf numFmtId="38" fontId="8" fillId="5" borderId="7" xfId="1" applyFont="1" applyFill="1" applyBorder="1">
      <alignment vertical="center"/>
    </xf>
    <xf numFmtId="0" fontId="6" fillId="0" borderId="0" xfId="0" applyFont="1">
      <alignment vertical="center"/>
    </xf>
    <xf numFmtId="38" fontId="6" fillId="0" borderId="0" xfId="1" applyFont="1">
      <alignment vertical="center"/>
    </xf>
    <xf numFmtId="0" fontId="8" fillId="15" borderId="18" xfId="0" applyFont="1" applyFill="1" applyBorder="1">
      <alignment vertical="center"/>
    </xf>
    <xf numFmtId="0" fontId="8" fillId="15" borderId="1" xfId="0" applyFont="1" applyFill="1" applyBorder="1">
      <alignment vertical="center"/>
    </xf>
    <xf numFmtId="38" fontId="8" fillId="15" borderId="7" xfId="1" applyFont="1" applyFill="1" applyBorder="1">
      <alignment vertical="center"/>
    </xf>
    <xf numFmtId="38" fontId="0" fillId="14" borderId="45" xfId="1" applyFont="1" applyFill="1" applyBorder="1">
      <alignment vertical="center"/>
    </xf>
    <xf numFmtId="0" fontId="9" fillId="0" borderId="56" xfId="0" applyFont="1" applyBorder="1" applyAlignment="1">
      <alignment wrapText="1"/>
    </xf>
    <xf numFmtId="0" fontId="9" fillId="0" borderId="56" xfId="0" applyFont="1" applyBorder="1" applyAlignment="1">
      <alignment horizontal="right" wrapText="1"/>
    </xf>
    <xf numFmtId="40" fontId="9" fillId="0" borderId="56" xfId="1" applyNumberFormat="1" applyFont="1" applyBorder="1" applyAlignment="1">
      <alignment horizontal="right" wrapText="1"/>
    </xf>
    <xf numFmtId="180" fontId="7" fillId="2" borderId="7" xfId="1" applyNumberFormat="1" applyFont="1" applyFill="1" applyBorder="1">
      <alignment vertical="center"/>
    </xf>
    <xf numFmtId="180" fontId="0" fillId="2" borderId="7" xfId="1" applyNumberFormat="1" applyFont="1" applyFill="1" applyBorder="1">
      <alignment vertical="center"/>
    </xf>
    <xf numFmtId="10" fontId="0" fillId="5" borderId="7" xfId="0" applyNumberFormat="1" applyFill="1" applyBorder="1">
      <alignment vertical="center"/>
    </xf>
    <xf numFmtId="177" fontId="0" fillId="14" borderId="37" xfId="1" applyNumberFormat="1" applyFont="1" applyFill="1" applyBorder="1">
      <alignment vertical="center"/>
    </xf>
    <xf numFmtId="0" fontId="8" fillId="0" borderId="56" xfId="0" applyFont="1" applyBorder="1" applyAlignment="1">
      <alignment wrapText="1"/>
    </xf>
    <xf numFmtId="0" fontId="8" fillId="0" borderId="0" xfId="0" applyFont="1">
      <alignment vertical="center"/>
    </xf>
    <xf numFmtId="0" fontId="11" fillId="0" borderId="56" xfId="3" applyFont="1" applyBorder="1">
      <alignment vertical="center"/>
    </xf>
    <xf numFmtId="0" fontId="8" fillId="0" borderId="60" xfId="0" applyFont="1" applyBorder="1" applyAlignment="1">
      <alignment wrapText="1"/>
    </xf>
    <xf numFmtId="0" fontId="8" fillId="0" borderId="56" xfId="0" applyFont="1" applyBorder="1" applyAlignment="1">
      <alignment horizontal="right" wrapText="1"/>
    </xf>
    <xf numFmtId="0" fontId="8" fillId="0" borderId="63" xfId="0" applyFont="1" applyBorder="1" applyAlignment="1">
      <alignment horizontal="center" wrapText="1"/>
    </xf>
    <xf numFmtId="0" fontId="8" fillId="0" borderId="64" xfId="0" applyFont="1" applyBorder="1" applyAlignment="1">
      <alignment wrapText="1"/>
    </xf>
    <xf numFmtId="0" fontId="8" fillId="0" borderId="65" xfId="0" applyFont="1" applyBorder="1" applyAlignment="1">
      <alignment horizontal="right" wrapText="1"/>
    </xf>
    <xf numFmtId="0" fontId="8" fillId="0" borderId="61" xfId="0" applyFont="1" applyBorder="1" applyAlignment="1">
      <alignment wrapText="1"/>
    </xf>
    <xf numFmtId="0" fontId="8" fillId="0" borderId="60" xfId="0" applyFont="1" applyBorder="1" applyAlignment="1">
      <alignment horizontal="right" wrapText="1"/>
    </xf>
    <xf numFmtId="0" fontId="8" fillId="0" borderId="63" xfId="0" applyFont="1" applyBorder="1" applyAlignment="1">
      <alignment horizontal="right" wrapText="1"/>
    </xf>
    <xf numFmtId="0" fontId="8" fillId="0" borderId="70" xfId="0" applyFont="1" applyBorder="1" applyAlignment="1">
      <alignment wrapText="1"/>
    </xf>
    <xf numFmtId="0" fontId="8" fillId="0" borderId="71" xfId="0" applyFont="1" applyBorder="1" applyAlignment="1">
      <alignment wrapText="1"/>
    </xf>
    <xf numFmtId="0" fontId="8" fillId="0" borderId="0" xfId="0" applyFont="1" applyBorder="1">
      <alignment vertical="center"/>
    </xf>
    <xf numFmtId="0" fontId="8" fillId="0" borderId="72" xfId="0" applyFont="1" applyBorder="1" applyAlignment="1">
      <alignment wrapText="1"/>
    </xf>
    <xf numFmtId="0" fontId="8" fillId="0" borderId="0" xfId="0" applyFont="1" applyBorder="1" applyAlignment="1">
      <alignment wrapText="1"/>
    </xf>
    <xf numFmtId="0" fontId="8" fillId="0" borderId="72" xfId="0" applyFont="1" applyBorder="1" applyAlignment="1">
      <alignment horizontal="right" wrapText="1"/>
    </xf>
    <xf numFmtId="0" fontId="8" fillId="0" borderId="0" xfId="0" applyFont="1" applyBorder="1" applyAlignment="1">
      <alignment horizontal="right" wrapText="1"/>
    </xf>
    <xf numFmtId="0" fontId="12" fillId="0" borderId="0" xfId="0" applyFont="1">
      <alignment vertical="center"/>
    </xf>
    <xf numFmtId="178" fontId="12" fillId="0" borderId="0" xfId="2" applyNumberFormat="1" applyFont="1">
      <alignment vertical="center"/>
    </xf>
    <xf numFmtId="0" fontId="0" fillId="0" borderId="1" xfId="0" applyBorder="1">
      <alignment vertical="center"/>
    </xf>
    <xf numFmtId="38" fontId="12" fillId="0" borderId="0" xfId="1" applyFont="1">
      <alignment vertical="center"/>
    </xf>
    <xf numFmtId="38" fontId="8" fillId="0" borderId="71" xfId="1" applyFont="1" applyBorder="1" applyAlignment="1">
      <alignment wrapText="1"/>
    </xf>
    <xf numFmtId="38" fontId="8" fillId="0" borderId="0" xfId="1" applyFont="1" applyBorder="1" applyAlignment="1">
      <alignment wrapText="1"/>
    </xf>
    <xf numFmtId="38" fontId="8" fillId="0" borderId="0" xfId="1" applyFont="1" applyBorder="1">
      <alignment vertical="center"/>
    </xf>
    <xf numFmtId="0" fontId="0" fillId="5" borderId="18" xfId="0" applyFill="1" applyBorder="1">
      <alignment vertical="center"/>
    </xf>
    <xf numFmtId="0" fontId="0" fillId="5" borderId="1" xfId="0" applyFill="1" applyBorder="1">
      <alignment vertical="center"/>
    </xf>
    <xf numFmtId="0" fontId="6" fillId="14" borderId="34" xfId="0" applyFont="1" applyFill="1" applyBorder="1">
      <alignment vertical="center"/>
    </xf>
    <xf numFmtId="0" fontId="5" fillId="14" borderId="0" xfId="0" applyFont="1" applyFill="1" applyBorder="1">
      <alignment vertical="center"/>
    </xf>
    <xf numFmtId="0" fontId="6" fillId="14" borderId="0" xfId="0" applyFont="1" applyFill="1" applyBorder="1">
      <alignment vertical="center"/>
    </xf>
    <xf numFmtId="0" fontId="0" fillId="0" borderId="0" xfId="0" applyAlignment="1">
      <alignment vertical="center" textRotation="90" wrapText="1"/>
    </xf>
    <xf numFmtId="38" fontId="5" fillId="0" borderId="0" xfId="1" applyFont="1">
      <alignment vertical="center"/>
    </xf>
    <xf numFmtId="0" fontId="0" fillId="15" borderId="7" xfId="0" applyFill="1" applyBorder="1" applyAlignment="1">
      <alignment horizontal="centerContinuous" vertical="center"/>
    </xf>
    <xf numFmtId="0" fontId="0" fillId="0" borderId="3" xfId="0" applyBorder="1">
      <alignment vertical="center"/>
    </xf>
    <xf numFmtId="0" fontId="0" fillId="0" borderId="26" xfId="0" applyBorder="1">
      <alignment vertical="center"/>
    </xf>
    <xf numFmtId="0" fontId="0" fillId="0" borderId="28" xfId="0" applyBorder="1">
      <alignment vertical="center"/>
    </xf>
    <xf numFmtId="0" fontId="0" fillId="15" borderId="12" xfId="0" applyFill="1" applyBorder="1" applyAlignment="1">
      <alignment horizontal="centerContinuous" vertical="center"/>
    </xf>
    <xf numFmtId="0" fontId="0" fillId="15" borderId="15" xfId="0" applyFill="1" applyBorder="1" applyAlignment="1">
      <alignment horizontal="centerContinuous" vertical="center"/>
    </xf>
    <xf numFmtId="0" fontId="0" fillId="0" borderId="11" xfId="0" applyBorder="1">
      <alignment vertical="center"/>
    </xf>
    <xf numFmtId="0" fontId="0" fillId="15" borderId="3" xfId="0" applyFill="1" applyBorder="1">
      <alignment vertical="center"/>
    </xf>
    <xf numFmtId="0" fontId="0" fillId="15" borderId="11" xfId="0" applyFill="1" applyBorder="1">
      <alignment vertical="center"/>
    </xf>
    <xf numFmtId="0" fontId="0" fillId="15" borderId="0" xfId="0" applyFill="1" applyBorder="1">
      <alignment vertical="center"/>
    </xf>
    <xf numFmtId="0" fontId="0" fillId="15" borderId="26" xfId="0" applyFill="1" applyBorder="1">
      <alignment vertical="center"/>
    </xf>
    <xf numFmtId="0" fontId="0" fillId="15" borderId="28" xfId="0" applyFill="1" applyBorder="1">
      <alignment vertical="center"/>
    </xf>
    <xf numFmtId="0" fontId="13" fillId="0" borderId="0" xfId="0" applyFont="1">
      <alignment vertical="center"/>
    </xf>
    <xf numFmtId="38" fontId="7" fillId="5" borderId="7" xfId="1" applyFont="1" applyFill="1" applyBorder="1" applyAlignment="1">
      <alignment horizontal="centerContinuous" vertical="center"/>
    </xf>
    <xf numFmtId="177" fontId="0" fillId="0" borderId="7" xfId="0" applyNumberFormat="1" applyBorder="1">
      <alignment vertical="center"/>
    </xf>
    <xf numFmtId="0" fontId="0" fillId="15" borderId="4" xfId="0" applyFill="1" applyBorder="1">
      <alignment vertical="center"/>
    </xf>
    <xf numFmtId="0" fontId="8" fillId="0" borderId="66" xfId="0" applyFont="1" applyBorder="1" applyAlignment="1">
      <alignment vertical="center" wrapText="1"/>
    </xf>
    <xf numFmtId="0" fontId="8" fillId="0" borderId="62" xfId="0" applyFont="1" applyBorder="1" applyAlignment="1">
      <alignment vertical="center" wrapText="1"/>
    </xf>
    <xf numFmtId="0" fontId="8" fillId="0" borderId="67" xfId="0" applyFont="1" applyBorder="1" applyAlignment="1">
      <alignment horizontal="center" wrapText="1"/>
    </xf>
    <xf numFmtId="0" fontId="8" fillId="0" borderId="68" xfId="0" applyFont="1" applyBorder="1" applyAlignment="1">
      <alignment horizontal="center" wrapText="1"/>
    </xf>
    <xf numFmtId="0" fontId="8" fillId="0" borderId="69" xfId="0" applyFont="1" applyBorder="1" applyAlignment="1">
      <alignment horizontal="center" wrapText="1"/>
    </xf>
    <xf numFmtId="0" fontId="8" fillId="0" borderId="57" xfId="0" applyFont="1" applyBorder="1" applyAlignment="1">
      <alignment wrapText="1"/>
    </xf>
    <xf numFmtId="0" fontId="8" fillId="0" borderId="58" xfId="0" applyFont="1" applyBorder="1" applyAlignment="1">
      <alignment wrapText="1"/>
    </xf>
    <xf numFmtId="0" fontId="8" fillId="0" borderId="59" xfId="0" applyFont="1" applyBorder="1" applyAlignment="1">
      <alignment wrapText="1"/>
    </xf>
    <xf numFmtId="0" fontId="8" fillId="0" borderId="57" xfId="0" applyFont="1" applyBorder="1" applyAlignment="1">
      <alignment vertical="top" wrapText="1"/>
    </xf>
    <xf numFmtId="0" fontId="8" fillId="0" borderId="58" xfId="0" applyFont="1" applyBorder="1" applyAlignment="1">
      <alignment vertical="top" wrapText="1"/>
    </xf>
    <xf numFmtId="0" fontId="8" fillId="0" borderId="59" xfId="0" applyFont="1" applyBorder="1" applyAlignment="1">
      <alignment vertical="top" wrapText="1"/>
    </xf>
    <xf numFmtId="0" fontId="0" fillId="0" borderId="18" xfId="0" applyBorder="1" applyAlignment="1">
      <alignment horizontal="center" vertical="center"/>
    </xf>
    <xf numFmtId="0" fontId="0" fillId="0" borderId="1" xfId="0" applyBorder="1" applyAlignment="1">
      <alignment horizontal="center" vertical="center"/>
    </xf>
    <xf numFmtId="0" fontId="0" fillId="0" borderId="19" xfId="0" applyBorder="1" applyAlignment="1">
      <alignment horizontal="center" vertical="center"/>
    </xf>
    <xf numFmtId="0" fontId="0" fillId="0" borderId="13" xfId="0" applyFill="1" applyBorder="1" applyAlignment="1">
      <alignment horizontal="center" vertical="center"/>
    </xf>
    <xf numFmtId="0" fontId="0" fillId="0" borderId="4" xfId="0" applyFill="1" applyBorder="1" applyAlignment="1">
      <alignment horizontal="center" vertical="center"/>
    </xf>
    <xf numFmtId="0" fontId="0" fillId="0" borderId="16" xfId="0" applyFill="1" applyBorder="1" applyAlignment="1">
      <alignment horizontal="center" vertical="center"/>
    </xf>
    <xf numFmtId="0" fontId="0" fillId="0" borderId="13" xfId="0" applyBorder="1" applyAlignment="1">
      <alignment horizontal="center" vertical="center"/>
    </xf>
    <xf numFmtId="0" fontId="0" fillId="0" borderId="4" xfId="0" applyBorder="1" applyAlignment="1">
      <alignment horizontal="center" vertical="center"/>
    </xf>
    <xf numFmtId="0" fontId="0" fillId="0" borderId="16" xfId="0" applyBorder="1" applyAlignment="1">
      <alignment horizontal="center" vertical="center"/>
    </xf>
    <xf numFmtId="38" fontId="0" fillId="0" borderId="7" xfId="1" applyFon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4" fillId="0" borderId="0" xfId="0" applyFont="1">
      <alignment vertical="center"/>
    </xf>
  </cellXfs>
  <cellStyles count="4">
    <cellStyle name="パーセント" xfId="2" builtinId="5"/>
    <cellStyle name="ハイパーリンク" xfId="3" builtinId="8"/>
    <cellStyle name="桁区切り" xfId="1" builtinId="6"/>
    <cellStyle name="標準" xfId="0" builtinId="0"/>
  </cellStyles>
  <dxfs count="5">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収支</a:t>
            </a:r>
          </a:p>
        </c:rich>
      </c:tx>
      <c:overlay val="0"/>
    </c:title>
    <c:autoTitleDeleted val="0"/>
    <c:plotArea>
      <c:layout>
        <c:manualLayout>
          <c:layoutTarget val="inner"/>
          <c:xMode val="edge"/>
          <c:yMode val="edge"/>
          <c:x val="7.0814602045342512E-2"/>
          <c:y val="0.12554361919163201"/>
          <c:w val="0.85723959268355432"/>
          <c:h val="0.77156121808189904"/>
        </c:manualLayout>
      </c:layout>
      <c:areaChart>
        <c:grouping val="standard"/>
        <c:varyColors val="0"/>
        <c:ser>
          <c:idx val="0"/>
          <c:order val="0"/>
          <c:tx>
            <c:strRef>
              <c:f>サマリ!$J$2</c:f>
              <c:strCache>
                <c:ptCount val="1"/>
                <c:pt idx="0">
                  <c:v>収入</c:v>
                </c:pt>
              </c:strCache>
            </c:strRef>
          </c:tx>
          <c:spPr>
            <a:solidFill>
              <a:schemeClr val="tx2">
                <a:alpha val="50000"/>
              </a:schemeClr>
            </a:solidFill>
          </c:spPr>
          <c:cat>
            <c:numRef>
              <c:f>サマリ!$C$6:$C$70</c:f>
              <c:numCache>
                <c:formatCode>#,##0\ ;[Red]\-#,##0\ ;\-\ </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サマリ!$J$6:$J$70</c:f>
              <c:numCache>
                <c:formatCode>#,##0\ ;[Red]\-#,##0\ ;\-\ </c:formatCode>
                <c:ptCount val="65"/>
                <c:pt idx="0">
                  <c:v>356.57079999999996</c:v>
                </c:pt>
                <c:pt idx="1">
                  <c:v>374.17079999999999</c:v>
                </c:pt>
                <c:pt idx="2">
                  <c:v>382.9708</c:v>
                </c:pt>
                <c:pt idx="3">
                  <c:v>397.94562000000002</c:v>
                </c:pt>
                <c:pt idx="4">
                  <c:v>365.70630400000005</c:v>
                </c:pt>
                <c:pt idx="5">
                  <c:v>396.70908800000001</c:v>
                </c:pt>
                <c:pt idx="6">
                  <c:v>414.07640800000001</c:v>
                </c:pt>
                <c:pt idx="7">
                  <c:v>412.40486399999998</c:v>
                </c:pt>
                <c:pt idx="8">
                  <c:v>439.99108800000005</c:v>
                </c:pt>
                <c:pt idx="9">
                  <c:v>448.39108800000002</c:v>
                </c:pt>
                <c:pt idx="10">
                  <c:v>458.41492799999997</c:v>
                </c:pt>
                <c:pt idx="11">
                  <c:v>460.81492800000001</c:v>
                </c:pt>
                <c:pt idx="12">
                  <c:v>469.21492800000004</c:v>
                </c:pt>
                <c:pt idx="13">
                  <c:v>510.82040000000006</c:v>
                </c:pt>
                <c:pt idx="14">
                  <c:v>527.39699999999993</c:v>
                </c:pt>
                <c:pt idx="15">
                  <c:v>535.79700000000003</c:v>
                </c:pt>
                <c:pt idx="16">
                  <c:v>544.197</c:v>
                </c:pt>
                <c:pt idx="17">
                  <c:v>548.22084000000007</c:v>
                </c:pt>
                <c:pt idx="18">
                  <c:v>563.89137000000005</c:v>
                </c:pt>
                <c:pt idx="19">
                  <c:v>572.29137000000003</c:v>
                </c:pt>
                <c:pt idx="20">
                  <c:v>568.69137000000001</c:v>
                </c:pt>
                <c:pt idx="21">
                  <c:v>572.71520999999996</c:v>
                </c:pt>
                <c:pt idx="22">
                  <c:v>581.11521000000005</c:v>
                </c:pt>
                <c:pt idx="23">
                  <c:v>584.77529800000002</c:v>
                </c:pt>
                <c:pt idx="24">
                  <c:v>588.79913799999997</c:v>
                </c:pt>
                <c:pt idx="25">
                  <c:v>597.19913799999995</c:v>
                </c:pt>
                <c:pt idx="26">
                  <c:v>605.59913800000004</c:v>
                </c:pt>
                <c:pt idx="27">
                  <c:v>612.85922600000004</c:v>
                </c:pt>
                <c:pt idx="28">
                  <c:v>604.45922599999994</c:v>
                </c:pt>
                <c:pt idx="29">
                  <c:v>604.45922599999994</c:v>
                </c:pt>
                <c:pt idx="30">
                  <c:v>604.45922599999994</c:v>
                </c:pt>
                <c:pt idx="31">
                  <c:v>604.45922599999994</c:v>
                </c:pt>
                <c:pt idx="32">
                  <c:v>571.211546</c:v>
                </c:pt>
                <c:pt idx="33">
                  <c:v>541.987706</c:v>
                </c:pt>
                <c:pt idx="34">
                  <c:v>505.50377800000001</c:v>
                </c:pt>
                <c:pt idx="35">
                  <c:v>477.41985</c:v>
                </c:pt>
                <c:pt idx="36">
                  <c:v>439.03463999999997</c:v>
                </c:pt>
                <c:pt idx="37">
                  <c:v>430.85803999999996</c:v>
                </c:pt>
                <c:pt idx="38">
                  <c:v>420.85803999999996</c:v>
                </c:pt>
                <c:pt idx="39">
                  <c:v>420.85803999999996</c:v>
                </c:pt>
                <c:pt idx="40">
                  <c:v>420.85803999999996</c:v>
                </c:pt>
                <c:pt idx="41">
                  <c:v>420.85803999999996</c:v>
                </c:pt>
                <c:pt idx="42">
                  <c:v>268.26422390328469</c:v>
                </c:pt>
                <c:pt idx="43">
                  <c:v>268.26422390328469</c:v>
                </c:pt>
                <c:pt idx="44">
                  <c:v>288.37992411866924</c:v>
                </c:pt>
                <c:pt idx="45">
                  <c:v>288.37992411866924</c:v>
                </c:pt>
                <c:pt idx="46">
                  <c:v>288.37992411866924</c:v>
                </c:pt>
                <c:pt idx="47">
                  <c:v>288.37992411866924</c:v>
                </c:pt>
                <c:pt idx="48">
                  <c:v>288.37992411866924</c:v>
                </c:pt>
                <c:pt idx="49">
                  <c:v>288.37992411866924</c:v>
                </c:pt>
                <c:pt idx="50">
                  <c:v>288.37992411866924</c:v>
                </c:pt>
                <c:pt idx="51">
                  <c:v>288.37992411866924</c:v>
                </c:pt>
                <c:pt idx="52">
                  <c:v>288.37992411866924</c:v>
                </c:pt>
                <c:pt idx="53">
                  <c:v>288.37992411866924</c:v>
                </c:pt>
                <c:pt idx="54">
                  <c:v>288.37992411866924</c:v>
                </c:pt>
                <c:pt idx="55">
                  <c:v>288.37992411866924</c:v>
                </c:pt>
                <c:pt idx="56">
                  <c:v>288.37992411866924</c:v>
                </c:pt>
                <c:pt idx="57">
                  <c:v>288.37992411866924</c:v>
                </c:pt>
                <c:pt idx="58">
                  <c:v>288.37992411866924</c:v>
                </c:pt>
                <c:pt idx="59">
                  <c:v>288.37992411866924</c:v>
                </c:pt>
                <c:pt idx="60">
                  <c:v>288.37992411866924</c:v>
                </c:pt>
                <c:pt idx="61">
                  <c:v>288.37992411866924</c:v>
                </c:pt>
                <c:pt idx="62">
                  <c:v>288.37992411866924</c:v>
                </c:pt>
                <c:pt idx="63">
                  <c:v>288.37992411866924</c:v>
                </c:pt>
                <c:pt idx="64">
                  <c:v>288.37992411866924</c:v>
                </c:pt>
              </c:numCache>
            </c:numRef>
          </c:val>
          <c:extLst>
            <c:ext xmlns:c16="http://schemas.microsoft.com/office/drawing/2014/chart" uri="{C3380CC4-5D6E-409C-BE32-E72D297353CC}">
              <c16:uniqueId val="{00000000-7421-40E0-A917-66220DC7667F}"/>
            </c:ext>
          </c:extLst>
        </c:ser>
        <c:ser>
          <c:idx val="3"/>
          <c:order val="1"/>
          <c:tx>
            <c:strRef>
              <c:f>サマリ!$AV$2</c:f>
              <c:strCache>
                <c:ptCount val="1"/>
                <c:pt idx="0">
                  <c:v>支出</c:v>
                </c:pt>
              </c:strCache>
            </c:strRef>
          </c:tx>
          <c:spPr>
            <a:solidFill>
              <a:schemeClr val="accent2">
                <a:alpha val="50000"/>
              </a:schemeClr>
            </a:solidFill>
          </c:spPr>
          <c:cat>
            <c:numRef>
              <c:f>サマリ!$C$6:$C$70</c:f>
              <c:numCache>
                <c:formatCode>#,##0\ ;[Red]\-#,##0\ ;\-\ </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サマリ!$AV$6:$AV$70</c:f>
              <c:numCache>
                <c:formatCode>#,##0_);[Red]\(#,##0\)</c:formatCode>
                <c:ptCount val="65"/>
                <c:pt idx="0">
                  <c:v>311.75</c:v>
                </c:pt>
                <c:pt idx="1">
                  <c:v>308.75</c:v>
                </c:pt>
                <c:pt idx="2">
                  <c:v>308.75</c:v>
                </c:pt>
                <c:pt idx="3">
                  <c:v>608.75</c:v>
                </c:pt>
                <c:pt idx="4">
                  <c:v>378.96500000000003</c:v>
                </c:pt>
                <c:pt idx="5">
                  <c:v>435.96500000000003</c:v>
                </c:pt>
                <c:pt idx="6">
                  <c:v>378.96500000000003</c:v>
                </c:pt>
                <c:pt idx="7">
                  <c:v>435.6533</c:v>
                </c:pt>
                <c:pt idx="8">
                  <c:v>438.45690000000002</c:v>
                </c:pt>
                <c:pt idx="9">
                  <c:v>438.42959999999999</c:v>
                </c:pt>
                <c:pt idx="10">
                  <c:v>748.34420348895549</c:v>
                </c:pt>
                <c:pt idx="11">
                  <c:v>438.80882342448967</c:v>
                </c:pt>
                <c:pt idx="12">
                  <c:v>440.78984336002389</c:v>
                </c:pt>
                <c:pt idx="13">
                  <c:v>448.46852329555816</c:v>
                </c:pt>
                <c:pt idx="14">
                  <c:v>445.6649032310923</c:v>
                </c:pt>
                <c:pt idx="15">
                  <c:v>507.48852316662658</c:v>
                </c:pt>
                <c:pt idx="16">
                  <c:v>467.76876310216073</c:v>
                </c:pt>
                <c:pt idx="17">
                  <c:v>763.23802303769503</c:v>
                </c:pt>
                <c:pt idx="18">
                  <c:v>468.24446297322919</c:v>
                </c:pt>
                <c:pt idx="19">
                  <c:v>517.27762290876342</c:v>
                </c:pt>
                <c:pt idx="20">
                  <c:v>527.18298355342131</c:v>
                </c:pt>
                <c:pt idx="21">
                  <c:v>512.30372355342126</c:v>
                </c:pt>
                <c:pt idx="22">
                  <c:v>601.26758355342122</c:v>
                </c:pt>
                <c:pt idx="23">
                  <c:v>548.30724355342124</c:v>
                </c:pt>
                <c:pt idx="24">
                  <c:v>835.02848355342121</c:v>
                </c:pt>
                <c:pt idx="25">
                  <c:v>715.89094355342127</c:v>
                </c:pt>
                <c:pt idx="26">
                  <c:v>528.78820355342123</c:v>
                </c:pt>
                <c:pt idx="27">
                  <c:v>497.77924355342122</c:v>
                </c:pt>
                <c:pt idx="28">
                  <c:v>497.51660355342131</c:v>
                </c:pt>
                <c:pt idx="29">
                  <c:v>852.76774355342127</c:v>
                </c:pt>
                <c:pt idx="30">
                  <c:v>499.86000355342128</c:v>
                </c:pt>
                <c:pt idx="31">
                  <c:v>671.01736355342132</c:v>
                </c:pt>
                <c:pt idx="32">
                  <c:v>370.75472355342123</c:v>
                </c:pt>
                <c:pt idx="33">
                  <c:v>370.49208355342131</c:v>
                </c:pt>
                <c:pt idx="34">
                  <c:v>370.22944355342128</c:v>
                </c:pt>
                <c:pt idx="35">
                  <c:v>426.96680355342124</c:v>
                </c:pt>
                <c:pt idx="36">
                  <c:v>369.70416355342127</c:v>
                </c:pt>
                <c:pt idx="37">
                  <c:v>369.44152355342129</c:v>
                </c:pt>
                <c:pt idx="38">
                  <c:v>669.1788835534212</c:v>
                </c:pt>
                <c:pt idx="39">
                  <c:v>607.04756355342124</c:v>
                </c:pt>
                <c:pt idx="40">
                  <c:v>371.78492355342127</c:v>
                </c:pt>
                <c:pt idx="41">
                  <c:v>368.65360355342131</c:v>
                </c:pt>
                <c:pt idx="42">
                  <c:v>355.64096355342127</c:v>
                </c:pt>
                <c:pt idx="43">
                  <c:v>355.50964355342131</c:v>
                </c:pt>
                <c:pt idx="44">
                  <c:v>355.24700355342128</c:v>
                </c:pt>
                <c:pt idx="45">
                  <c:v>543.68700999999999</c:v>
                </c:pt>
                <c:pt idx="46">
                  <c:v>236.55569000000003</c:v>
                </c:pt>
                <c:pt idx="47">
                  <c:v>236.55569000000003</c:v>
                </c:pt>
                <c:pt idx="48">
                  <c:v>236.42437000000001</c:v>
                </c:pt>
                <c:pt idx="49">
                  <c:v>552.42436999999995</c:v>
                </c:pt>
                <c:pt idx="50">
                  <c:v>239.38497400000003</c:v>
                </c:pt>
                <c:pt idx="51">
                  <c:v>236.36264960000003</c:v>
                </c:pt>
                <c:pt idx="52">
                  <c:v>486.34032520000005</c:v>
                </c:pt>
                <c:pt idx="53">
                  <c:v>236.31668760000002</c:v>
                </c:pt>
                <c:pt idx="54">
                  <c:v>236.29305000000002</c:v>
                </c:pt>
                <c:pt idx="55">
                  <c:v>293.29304999999999</c:v>
                </c:pt>
                <c:pt idx="56">
                  <c:v>236.29305000000002</c:v>
                </c:pt>
                <c:pt idx="57">
                  <c:v>236.29305000000002</c:v>
                </c:pt>
                <c:pt idx="58">
                  <c:v>236.29305000000002</c:v>
                </c:pt>
                <c:pt idx="59">
                  <c:v>486.29304999999999</c:v>
                </c:pt>
                <c:pt idx="60">
                  <c:v>239.29305000000002</c:v>
                </c:pt>
                <c:pt idx="61">
                  <c:v>236.29305000000002</c:v>
                </c:pt>
                <c:pt idx="62">
                  <c:v>236.29305000000002</c:v>
                </c:pt>
                <c:pt idx="63">
                  <c:v>236.29305000000002</c:v>
                </c:pt>
                <c:pt idx="64">
                  <c:v>236.29305000000002</c:v>
                </c:pt>
              </c:numCache>
            </c:numRef>
          </c:val>
          <c:extLst>
            <c:ext xmlns:c16="http://schemas.microsoft.com/office/drawing/2014/chart" uri="{C3380CC4-5D6E-409C-BE32-E72D297353CC}">
              <c16:uniqueId val="{00000001-7421-40E0-A917-66220DC7667F}"/>
            </c:ext>
          </c:extLst>
        </c:ser>
        <c:dLbls>
          <c:showLegendKey val="0"/>
          <c:showVal val="0"/>
          <c:showCatName val="0"/>
          <c:showSerName val="0"/>
          <c:showPercent val="0"/>
          <c:showBubbleSize val="0"/>
        </c:dLbls>
        <c:axId val="829104848"/>
        <c:axId val="829106808"/>
      </c:areaChart>
      <c:lineChart>
        <c:grouping val="standard"/>
        <c:varyColors val="0"/>
        <c:ser>
          <c:idx val="5"/>
          <c:order val="2"/>
          <c:tx>
            <c:v>収支</c:v>
          </c:tx>
          <c:spPr>
            <a:ln w="66675">
              <a:solidFill>
                <a:schemeClr val="accent6"/>
              </a:solidFill>
            </a:ln>
          </c:spPr>
          <c:marker>
            <c:symbol val="none"/>
          </c:marker>
          <c:cat>
            <c:numRef>
              <c:f>サマリ!$C$6:$C$70</c:f>
              <c:numCache>
                <c:formatCode>#,##0\ ;[Red]\-#,##0\ ;\-\ </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サマリ!$AL$6:$AL$70</c:f>
              <c:numCache>
                <c:formatCode>#,##0_);[Red]\(#,##0\)</c:formatCode>
                <c:ptCount val="65"/>
                <c:pt idx="0">
                  <c:v>44.820799999999963</c:v>
                </c:pt>
                <c:pt idx="1">
                  <c:v>65.420799999999986</c:v>
                </c:pt>
                <c:pt idx="2">
                  <c:v>74.220799999999997</c:v>
                </c:pt>
                <c:pt idx="3">
                  <c:v>-210.80438000000001</c:v>
                </c:pt>
                <c:pt idx="4">
                  <c:v>-13.258695999999986</c:v>
                </c:pt>
                <c:pt idx="5">
                  <c:v>-39.255911999999995</c:v>
                </c:pt>
                <c:pt idx="6">
                  <c:v>35.111407999999955</c:v>
                </c:pt>
                <c:pt idx="7">
                  <c:v>-23.248436000000027</c:v>
                </c:pt>
                <c:pt idx="8">
                  <c:v>1.5341880000000572</c:v>
                </c:pt>
                <c:pt idx="9">
                  <c:v>9.9614880000000028</c:v>
                </c:pt>
                <c:pt idx="10">
                  <c:v>-289.92927548895551</c:v>
                </c:pt>
                <c:pt idx="11">
                  <c:v>22.006104575510278</c:v>
                </c:pt>
                <c:pt idx="12">
                  <c:v>28.42508463997612</c:v>
                </c:pt>
                <c:pt idx="13">
                  <c:v>62.351876704441906</c:v>
                </c:pt>
                <c:pt idx="14">
                  <c:v>81.732096768907638</c:v>
                </c:pt>
                <c:pt idx="15">
                  <c:v>28.308476833373419</c:v>
                </c:pt>
                <c:pt idx="16">
                  <c:v>76.428236897839298</c:v>
                </c:pt>
                <c:pt idx="17">
                  <c:v>-215.01718303769493</c:v>
                </c:pt>
                <c:pt idx="18">
                  <c:v>95.646907026770833</c:v>
                </c:pt>
                <c:pt idx="19">
                  <c:v>55.013747091236667</c:v>
                </c:pt>
                <c:pt idx="20">
                  <c:v>41.508386446578811</c:v>
                </c:pt>
                <c:pt idx="21">
                  <c:v>60.411486446578806</c:v>
                </c:pt>
                <c:pt idx="22">
                  <c:v>-20.152373553421256</c:v>
                </c:pt>
                <c:pt idx="23">
                  <c:v>36.468054446578719</c:v>
                </c:pt>
                <c:pt idx="24">
                  <c:v>-246.22934555342121</c:v>
                </c:pt>
                <c:pt idx="25">
                  <c:v>-118.69180555342123</c:v>
                </c:pt>
                <c:pt idx="26">
                  <c:v>76.810934446578756</c:v>
                </c:pt>
                <c:pt idx="27">
                  <c:v>115.07998244657875</c:v>
                </c:pt>
                <c:pt idx="28">
                  <c:v>106.94262244657875</c:v>
                </c:pt>
                <c:pt idx="29">
                  <c:v>-248.30851755342127</c:v>
                </c:pt>
                <c:pt idx="30">
                  <c:v>104.59922244657878</c:v>
                </c:pt>
                <c:pt idx="31">
                  <c:v>-66.558137553421261</c:v>
                </c:pt>
                <c:pt idx="32">
                  <c:v>200.45682244657883</c:v>
                </c:pt>
                <c:pt idx="33">
                  <c:v>171.49562244657881</c:v>
                </c:pt>
                <c:pt idx="34">
                  <c:v>135.27433444657882</c:v>
                </c:pt>
                <c:pt idx="35">
                  <c:v>50.45304644657881</c:v>
                </c:pt>
                <c:pt idx="36">
                  <c:v>69.330476446578757</c:v>
                </c:pt>
                <c:pt idx="37">
                  <c:v>61.416516446578754</c:v>
                </c:pt>
                <c:pt idx="38">
                  <c:v>-248.32084355342127</c:v>
                </c:pt>
                <c:pt idx="39">
                  <c:v>-186.18952355342125</c:v>
                </c:pt>
                <c:pt idx="40">
                  <c:v>49.073116446578751</c:v>
                </c:pt>
                <c:pt idx="41">
                  <c:v>52.20443644657874</c:v>
                </c:pt>
                <c:pt idx="42">
                  <c:v>-87.376739650136614</c:v>
                </c:pt>
                <c:pt idx="43">
                  <c:v>-87.245419650136625</c:v>
                </c:pt>
                <c:pt idx="44">
                  <c:v>-66.867079434752014</c:v>
                </c:pt>
                <c:pt idx="45">
                  <c:v>-255.30708588133075</c:v>
                </c:pt>
                <c:pt idx="46">
                  <c:v>51.824234118669239</c:v>
                </c:pt>
                <c:pt idx="47">
                  <c:v>51.824234118669239</c:v>
                </c:pt>
                <c:pt idx="48">
                  <c:v>51.955554118669241</c:v>
                </c:pt>
                <c:pt idx="49">
                  <c:v>-264.04444588133077</c:v>
                </c:pt>
                <c:pt idx="50">
                  <c:v>48.994950118669237</c:v>
                </c:pt>
                <c:pt idx="51">
                  <c:v>52.01727451866924</c:v>
                </c:pt>
                <c:pt idx="52">
                  <c:v>-197.96040108133076</c:v>
                </c:pt>
                <c:pt idx="53">
                  <c:v>52.063236518669243</c:v>
                </c:pt>
                <c:pt idx="54">
                  <c:v>52.086874118669243</c:v>
                </c:pt>
                <c:pt idx="55">
                  <c:v>-4.9131258813307568</c:v>
                </c:pt>
                <c:pt idx="56">
                  <c:v>52.086874118669243</c:v>
                </c:pt>
                <c:pt idx="57">
                  <c:v>52.086874118669243</c:v>
                </c:pt>
                <c:pt idx="58">
                  <c:v>52.086874118669243</c:v>
                </c:pt>
                <c:pt idx="59">
                  <c:v>-197.91312588133076</c:v>
                </c:pt>
                <c:pt idx="60">
                  <c:v>49.086874118669243</c:v>
                </c:pt>
                <c:pt idx="61">
                  <c:v>52.086874118669243</c:v>
                </c:pt>
                <c:pt idx="62">
                  <c:v>52.086874118669243</c:v>
                </c:pt>
                <c:pt idx="63">
                  <c:v>52.086874118669243</c:v>
                </c:pt>
                <c:pt idx="64">
                  <c:v>52.086874118669243</c:v>
                </c:pt>
              </c:numCache>
            </c:numRef>
          </c:val>
          <c:smooth val="0"/>
          <c:extLst>
            <c:ext xmlns:c16="http://schemas.microsoft.com/office/drawing/2014/chart" uri="{C3380CC4-5D6E-409C-BE32-E72D297353CC}">
              <c16:uniqueId val="{00000002-7421-40E0-A917-66220DC7667F}"/>
            </c:ext>
          </c:extLst>
        </c:ser>
        <c:ser>
          <c:idx val="2"/>
          <c:order val="4"/>
          <c:spPr>
            <a:ln>
              <a:solidFill>
                <a:schemeClr val="accent3">
                  <a:shade val="76000"/>
                  <a:shade val="95000"/>
                  <a:satMod val="105000"/>
                  <a:alpha val="10000"/>
                </a:schemeClr>
              </a:solidFill>
              <a:prstDash val="sysDot"/>
            </a:ln>
          </c:spPr>
          <c:marker>
            <c:symbol val="none"/>
          </c:marker>
          <c:dLbls>
            <c:dLbl>
              <c:idx val="0"/>
              <c:tx>
                <c:rich>
                  <a:bodyPr/>
                  <a:lstStyle/>
                  <a:p>
                    <a:fld id="{0EFBA46D-6C24-4ABF-8289-349FCF4C66CE}"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421-40E0-A917-66220DC7667F}"/>
                </c:ext>
              </c:extLst>
            </c:dLbl>
            <c:dLbl>
              <c:idx val="1"/>
              <c:tx>
                <c:rich>
                  <a:bodyPr/>
                  <a:lstStyle/>
                  <a:p>
                    <a:fld id="{7E6DDAC3-822C-4807-B503-F07B3D40CFF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21-40E0-A917-66220DC7667F}"/>
                </c:ext>
              </c:extLst>
            </c:dLbl>
            <c:dLbl>
              <c:idx val="2"/>
              <c:tx>
                <c:rich>
                  <a:bodyPr/>
                  <a:lstStyle/>
                  <a:p>
                    <a:fld id="{AA4711F7-AD36-4799-8E59-7C4E0DEE1CD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21-40E0-A917-66220DC7667F}"/>
                </c:ext>
              </c:extLst>
            </c:dLbl>
            <c:dLbl>
              <c:idx val="3"/>
              <c:tx>
                <c:rich>
                  <a:bodyPr/>
                  <a:lstStyle/>
                  <a:p>
                    <a:fld id="{6BE4C7BC-3749-4499-9B03-67638787045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21-40E0-A917-66220DC7667F}"/>
                </c:ext>
              </c:extLst>
            </c:dLbl>
            <c:dLbl>
              <c:idx val="4"/>
              <c:tx>
                <c:rich>
                  <a:bodyPr/>
                  <a:lstStyle/>
                  <a:p>
                    <a:fld id="{E4378BA5-7E5A-4489-A1DF-AF68CEEDABB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21-40E0-A917-66220DC7667F}"/>
                </c:ext>
              </c:extLst>
            </c:dLbl>
            <c:dLbl>
              <c:idx val="5"/>
              <c:tx>
                <c:rich>
                  <a:bodyPr/>
                  <a:lstStyle/>
                  <a:p>
                    <a:fld id="{4D900A50-9553-47C8-9EA0-268CECB7326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21-40E0-A917-66220DC7667F}"/>
                </c:ext>
              </c:extLst>
            </c:dLbl>
            <c:dLbl>
              <c:idx val="6"/>
              <c:tx>
                <c:rich>
                  <a:bodyPr/>
                  <a:lstStyle/>
                  <a:p>
                    <a:fld id="{9FB89393-EC21-40B1-B7BF-3C737F0E3B9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21-40E0-A917-66220DC7667F}"/>
                </c:ext>
              </c:extLst>
            </c:dLbl>
            <c:dLbl>
              <c:idx val="7"/>
              <c:tx>
                <c:rich>
                  <a:bodyPr/>
                  <a:lstStyle/>
                  <a:p>
                    <a:fld id="{43D0728B-EC33-4867-B35C-0BE1DC757B2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21-40E0-A917-66220DC7667F}"/>
                </c:ext>
              </c:extLst>
            </c:dLbl>
            <c:dLbl>
              <c:idx val="8"/>
              <c:tx>
                <c:rich>
                  <a:bodyPr/>
                  <a:lstStyle/>
                  <a:p>
                    <a:fld id="{A2A2E4AA-434B-421A-9374-9DA37FA7870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21-40E0-A917-66220DC7667F}"/>
                </c:ext>
              </c:extLst>
            </c:dLbl>
            <c:dLbl>
              <c:idx val="9"/>
              <c:tx>
                <c:rich>
                  <a:bodyPr/>
                  <a:lstStyle/>
                  <a:p>
                    <a:fld id="{A46B3ABA-3DA8-4B21-A512-992343A1589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21-40E0-A917-66220DC7667F}"/>
                </c:ext>
              </c:extLst>
            </c:dLbl>
            <c:dLbl>
              <c:idx val="10"/>
              <c:tx>
                <c:rich>
                  <a:bodyPr/>
                  <a:lstStyle/>
                  <a:p>
                    <a:fld id="{307C8056-4ACD-41BF-B525-39B558610F2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21-40E0-A917-66220DC7667F}"/>
                </c:ext>
              </c:extLst>
            </c:dLbl>
            <c:dLbl>
              <c:idx val="11"/>
              <c:tx>
                <c:rich>
                  <a:bodyPr/>
                  <a:lstStyle/>
                  <a:p>
                    <a:fld id="{9A55A6FE-B4CC-4EE2-8DC0-1FD0FB24F6A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21-40E0-A917-66220DC7667F}"/>
                </c:ext>
              </c:extLst>
            </c:dLbl>
            <c:dLbl>
              <c:idx val="12"/>
              <c:tx>
                <c:rich>
                  <a:bodyPr/>
                  <a:lstStyle/>
                  <a:p>
                    <a:fld id="{80751ABA-F018-40AB-B815-FED8199F599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21-40E0-A917-66220DC7667F}"/>
                </c:ext>
              </c:extLst>
            </c:dLbl>
            <c:dLbl>
              <c:idx val="13"/>
              <c:tx>
                <c:rich>
                  <a:bodyPr/>
                  <a:lstStyle/>
                  <a:p>
                    <a:fld id="{221868F1-9DF5-4730-AB91-BD716EE7B65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421-40E0-A917-66220DC7667F}"/>
                </c:ext>
              </c:extLst>
            </c:dLbl>
            <c:dLbl>
              <c:idx val="14"/>
              <c:tx>
                <c:rich>
                  <a:bodyPr/>
                  <a:lstStyle/>
                  <a:p>
                    <a:fld id="{F917DDD2-33AB-4738-8D2B-7F3C30FDBCE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421-40E0-A917-66220DC7667F}"/>
                </c:ext>
              </c:extLst>
            </c:dLbl>
            <c:dLbl>
              <c:idx val="15"/>
              <c:tx>
                <c:rich>
                  <a:bodyPr/>
                  <a:lstStyle/>
                  <a:p>
                    <a:fld id="{1EA2B485-AAB6-4E42-992C-9E92D819755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421-40E0-A917-66220DC7667F}"/>
                </c:ext>
              </c:extLst>
            </c:dLbl>
            <c:dLbl>
              <c:idx val="16"/>
              <c:tx>
                <c:rich>
                  <a:bodyPr/>
                  <a:lstStyle/>
                  <a:p>
                    <a:fld id="{59B6FDC6-0EF4-41F7-8468-1889E35F65D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421-40E0-A917-66220DC7667F}"/>
                </c:ext>
              </c:extLst>
            </c:dLbl>
            <c:dLbl>
              <c:idx val="17"/>
              <c:tx>
                <c:rich>
                  <a:bodyPr/>
                  <a:lstStyle/>
                  <a:p>
                    <a:fld id="{9463F990-F283-4DBF-9D16-08BCD2AA6E3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421-40E0-A917-66220DC7667F}"/>
                </c:ext>
              </c:extLst>
            </c:dLbl>
            <c:dLbl>
              <c:idx val="18"/>
              <c:tx>
                <c:rich>
                  <a:bodyPr/>
                  <a:lstStyle/>
                  <a:p>
                    <a:fld id="{0773DB80-CFFE-43A7-AC3A-A16791D84C8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421-40E0-A917-66220DC7667F}"/>
                </c:ext>
              </c:extLst>
            </c:dLbl>
            <c:dLbl>
              <c:idx val="19"/>
              <c:tx>
                <c:rich>
                  <a:bodyPr/>
                  <a:lstStyle/>
                  <a:p>
                    <a:fld id="{A6BB1ACF-81CA-4766-B51D-2C274A5FF0A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421-40E0-A917-66220DC7667F}"/>
                </c:ext>
              </c:extLst>
            </c:dLbl>
            <c:dLbl>
              <c:idx val="20"/>
              <c:tx>
                <c:rich>
                  <a:bodyPr/>
                  <a:lstStyle/>
                  <a:p>
                    <a:fld id="{185DBD03-E4C6-47EA-B48A-2CD18F8D915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421-40E0-A917-66220DC7667F}"/>
                </c:ext>
              </c:extLst>
            </c:dLbl>
            <c:dLbl>
              <c:idx val="21"/>
              <c:tx>
                <c:rich>
                  <a:bodyPr/>
                  <a:lstStyle/>
                  <a:p>
                    <a:fld id="{AFA4C6CB-68BB-45CE-ACA3-6A42A4D90BB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421-40E0-A917-66220DC7667F}"/>
                </c:ext>
              </c:extLst>
            </c:dLbl>
            <c:dLbl>
              <c:idx val="22"/>
              <c:tx>
                <c:rich>
                  <a:bodyPr/>
                  <a:lstStyle/>
                  <a:p>
                    <a:fld id="{20F26F21-E4AE-41C3-BD36-47A1B845B039}"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421-40E0-A917-66220DC7667F}"/>
                </c:ext>
              </c:extLst>
            </c:dLbl>
            <c:dLbl>
              <c:idx val="23"/>
              <c:tx>
                <c:rich>
                  <a:bodyPr/>
                  <a:lstStyle/>
                  <a:p>
                    <a:fld id="{1696E5A2-A71D-40F9-BDB2-D1A3468DEA4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421-40E0-A917-66220DC7667F}"/>
                </c:ext>
              </c:extLst>
            </c:dLbl>
            <c:dLbl>
              <c:idx val="24"/>
              <c:tx>
                <c:rich>
                  <a:bodyPr/>
                  <a:lstStyle/>
                  <a:p>
                    <a:fld id="{BFE03F9C-20D5-4BCD-8493-AAF8BF583E8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421-40E0-A917-66220DC7667F}"/>
                </c:ext>
              </c:extLst>
            </c:dLbl>
            <c:dLbl>
              <c:idx val="25"/>
              <c:tx>
                <c:rich>
                  <a:bodyPr/>
                  <a:lstStyle/>
                  <a:p>
                    <a:fld id="{B6336B1F-4CE3-427D-B931-6A6AE33797EE}"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7421-40E0-A917-66220DC7667F}"/>
                </c:ext>
              </c:extLst>
            </c:dLbl>
            <c:dLbl>
              <c:idx val="26"/>
              <c:tx>
                <c:rich>
                  <a:bodyPr/>
                  <a:lstStyle/>
                  <a:p>
                    <a:fld id="{3C813CF6-6F4D-4EEF-8437-4D612D16C89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421-40E0-A917-66220DC7667F}"/>
                </c:ext>
              </c:extLst>
            </c:dLbl>
            <c:dLbl>
              <c:idx val="27"/>
              <c:tx>
                <c:rich>
                  <a:bodyPr/>
                  <a:lstStyle/>
                  <a:p>
                    <a:fld id="{51638487-985E-45FB-8B41-DA687DCA780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421-40E0-A917-66220DC7667F}"/>
                </c:ext>
              </c:extLst>
            </c:dLbl>
            <c:dLbl>
              <c:idx val="28"/>
              <c:tx>
                <c:rich>
                  <a:bodyPr/>
                  <a:lstStyle/>
                  <a:p>
                    <a:fld id="{4FB71353-A1C5-47E5-BA24-DB7777C1E7E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421-40E0-A917-66220DC7667F}"/>
                </c:ext>
              </c:extLst>
            </c:dLbl>
            <c:dLbl>
              <c:idx val="29"/>
              <c:tx>
                <c:rich>
                  <a:bodyPr/>
                  <a:lstStyle/>
                  <a:p>
                    <a:fld id="{03EC7BE5-202E-4392-A50A-A2D7EEAABEAC}"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7421-40E0-A917-66220DC7667F}"/>
                </c:ext>
              </c:extLst>
            </c:dLbl>
            <c:dLbl>
              <c:idx val="30"/>
              <c:tx>
                <c:rich>
                  <a:bodyPr/>
                  <a:lstStyle/>
                  <a:p>
                    <a:fld id="{83C8F059-CB78-4B88-A739-6F72B7335BC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421-40E0-A917-66220DC7667F}"/>
                </c:ext>
              </c:extLst>
            </c:dLbl>
            <c:dLbl>
              <c:idx val="31"/>
              <c:tx>
                <c:rich>
                  <a:bodyPr/>
                  <a:lstStyle/>
                  <a:p>
                    <a:fld id="{9CD09547-7846-438D-A980-876FEBEC5E3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421-40E0-A917-66220DC7667F}"/>
                </c:ext>
              </c:extLst>
            </c:dLbl>
            <c:dLbl>
              <c:idx val="32"/>
              <c:tx>
                <c:rich>
                  <a:bodyPr/>
                  <a:lstStyle/>
                  <a:p>
                    <a:fld id="{B540015E-B0B1-4CA0-B5F5-DBD9E6BAE60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421-40E0-A917-66220DC7667F}"/>
                </c:ext>
              </c:extLst>
            </c:dLbl>
            <c:dLbl>
              <c:idx val="33"/>
              <c:tx>
                <c:rich>
                  <a:bodyPr/>
                  <a:lstStyle/>
                  <a:p>
                    <a:fld id="{0E2B5B4A-C926-4445-A34D-1643DC63FDE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421-40E0-A917-66220DC7667F}"/>
                </c:ext>
              </c:extLst>
            </c:dLbl>
            <c:dLbl>
              <c:idx val="34"/>
              <c:tx>
                <c:rich>
                  <a:bodyPr/>
                  <a:lstStyle/>
                  <a:p>
                    <a:fld id="{0EB8015A-A5E8-4541-9A6A-8DF7196BAC3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421-40E0-A917-66220DC7667F}"/>
                </c:ext>
              </c:extLst>
            </c:dLbl>
            <c:dLbl>
              <c:idx val="35"/>
              <c:tx>
                <c:rich>
                  <a:bodyPr/>
                  <a:lstStyle/>
                  <a:p>
                    <a:fld id="{9B527724-94C8-4AD1-A43E-34A47F152D7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421-40E0-A917-66220DC7667F}"/>
                </c:ext>
              </c:extLst>
            </c:dLbl>
            <c:dLbl>
              <c:idx val="36"/>
              <c:tx>
                <c:rich>
                  <a:bodyPr/>
                  <a:lstStyle/>
                  <a:p>
                    <a:fld id="{91DA6A47-97CF-49F9-A9AF-F18DDF5B95B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421-40E0-A917-66220DC7667F}"/>
                </c:ext>
              </c:extLst>
            </c:dLbl>
            <c:dLbl>
              <c:idx val="37"/>
              <c:tx>
                <c:rich>
                  <a:bodyPr/>
                  <a:lstStyle/>
                  <a:p>
                    <a:fld id="{FF6D64EE-CEFB-4B27-83F9-73A853643F4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421-40E0-A917-66220DC7667F}"/>
                </c:ext>
              </c:extLst>
            </c:dLbl>
            <c:dLbl>
              <c:idx val="38"/>
              <c:tx>
                <c:rich>
                  <a:bodyPr/>
                  <a:lstStyle/>
                  <a:p>
                    <a:fld id="{9C314C55-BDA7-4E43-AFAE-F949532CA59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421-40E0-A917-66220DC7667F}"/>
                </c:ext>
              </c:extLst>
            </c:dLbl>
            <c:dLbl>
              <c:idx val="39"/>
              <c:tx>
                <c:rich>
                  <a:bodyPr/>
                  <a:lstStyle/>
                  <a:p>
                    <a:fld id="{614184E4-E3E0-4E65-8189-E6DD7B95A7B2}"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7421-40E0-A917-66220DC7667F}"/>
                </c:ext>
              </c:extLst>
            </c:dLbl>
            <c:dLbl>
              <c:idx val="40"/>
              <c:tx>
                <c:rich>
                  <a:bodyPr/>
                  <a:lstStyle/>
                  <a:p>
                    <a:fld id="{BB6A297C-77B7-48BA-B052-2613D18DD8C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7421-40E0-A917-66220DC7667F}"/>
                </c:ext>
              </c:extLst>
            </c:dLbl>
            <c:dLbl>
              <c:idx val="41"/>
              <c:tx>
                <c:rich>
                  <a:bodyPr/>
                  <a:lstStyle/>
                  <a:p>
                    <a:fld id="{37415445-57E3-49B8-8D58-BD26A13A16E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7421-40E0-A917-66220DC7667F}"/>
                </c:ext>
              </c:extLst>
            </c:dLbl>
            <c:dLbl>
              <c:idx val="42"/>
              <c:tx>
                <c:rich>
                  <a:bodyPr/>
                  <a:lstStyle/>
                  <a:p>
                    <a:fld id="{E20419FE-450B-43C0-AF3E-E4CBD043F7E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7421-40E0-A917-66220DC7667F}"/>
                </c:ext>
              </c:extLst>
            </c:dLbl>
            <c:dLbl>
              <c:idx val="43"/>
              <c:tx>
                <c:rich>
                  <a:bodyPr/>
                  <a:lstStyle/>
                  <a:p>
                    <a:fld id="{84F5A4F4-25D3-49D1-B7A5-385C7B43A1F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7421-40E0-A917-66220DC7667F}"/>
                </c:ext>
              </c:extLst>
            </c:dLbl>
            <c:dLbl>
              <c:idx val="44"/>
              <c:tx>
                <c:rich>
                  <a:bodyPr/>
                  <a:lstStyle/>
                  <a:p>
                    <a:fld id="{EEB73B85-9D83-4DDF-A2A4-A52E37F5B8F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7421-40E0-A917-66220DC7667F}"/>
                </c:ext>
              </c:extLst>
            </c:dLbl>
            <c:dLbl>
              <c:idx val="45"/>
              <c:tx>
                <c:rich>
                  <a:bodyPr/>
                  <a:lstStyle/>
                  <a:p>
                    <a:fld id="{F30621BD-15F9-410B-970F-6D80E496489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7421-40E0-A917-66220DC7667F}"/>
                </c:ext>
              </c:extLst>
            </c:dLbl>
            <c:dLbl>
              <c:idx val="46"/>
              <c:tx>
                <c:rich>
                  <a:bodyPr/>
                  <a:lstStyle/>
                  <a:p>
                    <a:fld id="{4E25C300-33FB-4C58-A2B9-218AD705B36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7421-40E0-A917-66220DC7667F}"/>
                </c:ext>
              </c:extLst>
            </c:dLbl>
            <c:dLbl>
              <c:idx val="47"/>
              <c:tx>
                <c:rich>
                  <a:bodyPr/>
                  <a:lstStyle/>
                  <a:p>
                    <a:fld id="{889C881C-186A-492A-A0FB-56B0C66B6AE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7421-40E0-A917-66220DC7667F}"/>
                </c:ext>
              </c:extLst>
            </c:dLbl>
            <c:dLbl>
              <c:idx val="48"/>
              <c:tx>
                <c:rich>
                  <a:bodyPr/>
                  <a:lstStyle/>
                  <a:p>
                    <a:fld id="{05BF4A9D-DFB8-4177-A40C-B9C5D09FABB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7421-40E0-A917-66220DC7667F}"/>
                </c:ext>
              </c:extLst>
            </c:dLbl>
            <c:dLbl>
              <c:idx val="49"/>
              <c:tx>
                <c:rich>
                  <a:bodyPr/>
                  <a:lstStyle/>
                  <a:p>
                    <a:fld id="{3A399025-56D1-4D38-966B-0C3F72A215FC}" type="CELLRANGE">
                      <a:rPr lang="en-US" altLang="ja-JP"/>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7421-40E0-A917-66220DC7667F}"/>
                </c:ext>
              </c:extLst>
            </c:dLbl>
            <c:dLbl>
              <c:idx val="50"/>
              <c:tx>
                <c:rich>
                  <a:bodyPr/>
                  <a:lstStyle/>
                  <a:p>
                    <a:fld id="{B6A5E5A8-9B2E-4E09-B00B-EE5341BCE37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7421-40E0-A917-66220DC7667F}"/>
                </c:ext>
              </c:extLst>
            </c:dLbl>
            <c:dLbl>
              <c:idx val="51"/>
              <c:tx>
                <c:rich>
                  <a:bodyPr/>
                  <a:lstStyle/>
                  <a:p>
                    <a:fld id="{5E53A11C-5DA3-44AA-BA14-B2D69969C43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7421-40E0-A917-66220DC7667F}"/>
                </c:ext>
              </c:extLst>
            </c:dLbl>
            <c:dLbl>
              <c:idx val="52"/>
              <c:tx>
                <c:rich>
                  <a:bodyPr/>
                  <a:lstStyle/>
                  <a:p>
                    <a:fld id="{187B3EC3-BEFE-4E03-9C59-8A63FE8ED45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7421-40E0-A917-66220DC7667F}"/>
                </c:ext>
              </c:extLst>
            </c:dLbl>
            <c:dLbl>
              <c:idx val="53"/>
              <c:tx>
                <c:rich>
                  <a:bodyPr/>
                  <a:lstStyle/>
                  <a:p>
                    <a:fld id="{9BFDE222-6DB1-4FAE-9076-CBCD4B29092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7421-40E0-A917-66220DC7667F}"/>
                </c:ext>
              </c:extLst>
            </c:dLbl>
            <c:dLbl>
              <c:idx val="54"/>
              <c:tx>
                <c:rich>
                  <a:bodyPr/>
                  <a:lstStyle/>
                  <a:p>
                    <a:fld id="{9E6C1668-2D9B-4423-8E57-DCBEC243970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7421-40E0-A917-66220DC7667F}"/>
                </c:ext>
              </c:extLst>
            </c:dLbl>
            <c:dLbl>
              <c:idx val="55"/>
              <c:tx>
                <c:rich>
                  <a:bodyPr/>
                  <a:lstStyle/>
                  <a:p>
                    <a:fld id="{4D271F2E-58C0-4AB5-AF64-DAE945AFCD4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7421-40E0-A917-66220DC7667F}"/>
                </c:ext>
              </c:extLst>
            </c:dLbl>
            <c:dLbl>
              <c:idx val="56"/>
              <c:tx>
                <c:rich>
                  <a:bodyPr/>
                  <a:lstStyle/>
                  <a:p>
                    <a:fld id="{486E931F-C7DE-44F0-8A97-8FADA45EAA6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7421-40E0-A917-66220DC7667F}"/>
                </c:ext>
              </c:extLst>
            </c:dLbl>
            <c:dLbl>
              <c:idx val="57"/>
              <c:tx>
                <c:rich>
                  <a:bodyPr/>
                  <a:lstStyle/>
                  <a:p>
                    <a:fld id="{95EC7385-B305-475F-8EB5-FD6B43B43F6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7421-40E0-A917-66220DC7667F}"/>
                </c:ext>
              </c:extLst>
            </c:dLbl>
            <c:dLbl>
              <c:idx val="58"/>
              <c:tx>
                <c:rich>
                  <a:bodyPr/>
                  <a:lstStyle/>
                  <a:p>
                    <a:fld id="{2AD73C69-8FDA-4618-AFAB-1A2EC365D05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7421-40E0-A917-66220DC7667F}"/>
                </c:ext>
              </c:extLst>
            </c:dLbl>
            <c:dLbl>
              <c:idx val="59"/>
              <c:tx>
                <c:rich>
                  <a:bodyPr/>
                  <a:lstStyle/>
                  <a:p>
                    <a:fld id="{BE0A1372-E2A8-44C3-B087-1F3BD69618D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7421-40E0-A917-66220DC7667F}"/>
                </c:ext>
              </c:extLst>
            </c:dLbl>
            <c:dLbl>
              <c:idx val="60"/>
              <c:tx>
                <c:rich>
                  <a:bodyPr/>
                  <a:lstStyle/>
                  <a:p>
                    <a:fld id="{5DED3742-8D8C-49B0-B19B-B174B5BF758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7421-40E0-A917-66220DC7667F}"/>
                </c:ext>
              </c:extLst>
            </c:dLbl>
            <c:dLbl>
              <c:idx val="61"/>
              <c:tx>
                <c:rich>
                  <a:bodyPr/>
                  <a:lstStyle/>
                  <a:p>
                    <a:fld id="{032FE3F5-7FFB-444C-AECD-5259C7A67C3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7421-40E0-A917-66220DC7667F}"/>
                </c:ext>
              </c:extLst>
            </c:dLbl>
            <c:dLbl>
              <c:idx val="62"/>
              <c:tx>
                <c:rich>
                  <a:bodyPr/>
                  <a:lstStyle/>
                  <a:p>
                    <a:fld id="{9576339C-ACF7-48B3-85F6-59B3189BAAB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7421-40E0-A917-66220DC7667F}"/>
                </c:ext>
              </c:extLst>
            </c:dLbl>
            <c:dLbl>
              <c:idx val="63"/>
              <c:tx>
                <c:rich>
                  <a:bodyPr/>
                  <a:lstStyle/>
                  <a:p>
                    <a:fld id="{EC0B2128-8FC4-4553-B29D-049DF92A2E0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7421-40E0-A917-66220DC7667F}"/>
                </c:ext>
              </c:extLst>
            </c:dLbl>
            <c:dLbl>
              <c:idx val="64"/>
              <c:tx>
                <c:rich>
                  <a:bodyPr/>
                  <a:lstStyle/>
                  <a:p>
                    <a:fld id="{7322643F-2115-495A-9A86-0C3A1A17B38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7421-40E0-A917-66220DC7667F}"/>
                </c:ext>
              </c:extLst>
            </c:dLbl>
            <c:dLbl>
              <c:idx val="65"/>
              <c:tx>
                <c:rich>
                  <a:bodyPr/>
                  <a:lstStyle/>
                  <a:p>
                    <a:endParaRPr lang="ja-JP" alt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7421-40E0-A917-66220DC7667F}"/>
                </c:ext>
              </c:extLst>
            </c:dLbl>
            <c:spPr>
              <a:solidFill>
                <a:sysClr val="window" lastClr="FFFFFF">
                  <a:alpha val="50000"/>
                </a:sysClr>
              </a:solidFill>
              <a:ln>
                <a:solidFill>
                  <a:sysClr val="windowText" lastClr="000000">
                    <a:lumMod val="65000"/>
                    <a:lumOff val="35000"/>
                    <a:alpha val="50000"/>
                  </a:sysClr>
                </a:solidFill>
              </a:ln>
              <a:effectLst/>
            </c:sp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downArrowCallout">
                    <a:avLst/>
                  </a:prstGeom>
                </c15:spPr>
                <c15:showDataLabelsRange val="1"/>
                <c15:showLeaderLines val="0"/>
              </c:ext>
            </c:extLst>
          </c:dLbls>
          <c:val>
            <c:numRef>
              <c:f>サマリ!$AX$6:$AX$71</c:f>
              <c:numCache>
                <c:formatCode>#,##0\ ;[Red]\-#,##0\ ;\-\ </c:formatCode>
                <c:ptCount val="66"/>
                <c:pt idx="0">
                  <c:v>10311.75</c:v>
                </c:pt>
                <c:pt idx="1">
                  <c:v>10308.75</c:v>
                </c:pt>
                <c:pt idx="2">
                  <c:v>10308.75</c:v>
                </c:pt>
                <c:pt idx="3">
                  <c:v>730.5</c:v>
                </c:pt>
                <c:pt idx="4">
                  <c:v>10378.965</c:v>
                </c:pt>
                <c:pt idx="5">
                  <c:v>10435.965</c:v>
                </c:pt>
                <c:pt idx="6">
                  <c:v>10378.965</c:v>
                </c:pt>
                <c:pt idx="7">
                  <c:v>10435.6533</c:v>
                </c:pt>
                <c:pt idx="8">
                  <c:v>10438.456899999999</c:v>
                </c:pt>
                <c:pt idx="9">
                  <c:v>10438.429599999999</c:v>
                </c:pt>
                <c:pt idx="10">
                  <c:v>898.01304418674658</c:v>
                </c:pt>
                <c:pt idx="11">
                  <c:v>10438.80882342449</c:v>
                </c:pt>
                <c:pt idx="12">
                  <c:v>10440.789843360024</c:v>
                </c:pt>
                <c:pt idx="13">
                  <c:v>10448.468523295558</c:v>
                </c:pt>
                <c:pt idx="14">
                  <c:v>10445.664903231092</c:v>
                </c:pt>
                <c:pt idx="15">
                  <c:v>10507.488523166627</c:v>
                </c:pt>
                <c:pt idx="16">
                  <c:v>10467.76876310216</c:v>
                </c:pt>
                <c:pt idx="17">
                  <c:v>915.88562764523397</c:v>
                </c:pt>
                <c:pt idx="18">
                  <c:v>10468.244462973229</c:v>
                </c:pt>
                <c:pt idx="19">
                  <c:v>10517.277622908763</c:v>
                </c:pt>
                <c:pt idx="20">
                  <c:v>10527.182983553421</c:v>
                </c:pt>
                <c:pt idx="21">
                  <c:v>10512.303723553421</c:v>
                </c:pt>
                <c:pt idx="22">
                  <c:v>721.52110026410548</c:v>
                </c:pt>
                <c:pt idx="23">
                  <c:v>10548.307243553421</c:v>
                </c:pt>
                <c:pt idx="24">
                  <c:v>1002.0341802641054</c:v>
                </c:pt>
                <c:pt idx="25">
                  <c:v>859.06913226410552</c:v>
                </c:pt>
                <c:pt idx="26">
                  <c:v>10528.78820355342</c:v>
                </c:pt>
                <c:pt idx="27">
                  <c:v>10497.779243553421</c:v>
                </c:pt>
                <c:pt idx="28">
                  <c:v>10497.516603553422</c:v>
                </c:pt>
                <c:pt idx="29">
                  <c:v>1023.3212922641055</c:v>
                </c:pt>
                <c:pt idx="30">
                  <c:v>10499.860003553422</c:v>
                </c:pt>
                <c:pt idx="31">
                  <c:v>805.22083626410551</c:v>
                </c:pt>
                <c:pt idx="32">
                  <c:v>10370.754723553422</c:v>
                </c:pt>
                <c:pt idx="33">
                  <c:v>10370.492083553421</c:v>
                </c:pt>
                <c:pt idx="34">
                  <c:v>10370.22944355342</c:v>
                </c:pt>
                <c:pt idx="35">
                  <c:v>10426.966803553421</c:v>
                </c:pt>
                <c:pt idx="36">
                  <c:v>10369.704163553421</c:v>
                </c:pt>
                <c:pt idx="37">
                  <c:v>10369.441523553422</c:v>
                </c:pt>
                <c:pt idx="38">
                  <c:v>803.01466026410537</c:v>
                </c:pt>
                <c:pt idx="39">
                  <c:v>728.45707626410547</c:v>
                </c:pt>
                <c:pt idx="40">
                  <c:v>10371.784923553421</c:v>
                </c:pt>
                <c:pt idx="41">
                  <c:v>10368.653603553421</c:v>
                </c:pt>
                <c:pt idx="42">
                  <c:v>10355.640963553422</c:v>
                </c:pt>
                <c:pt idx="43">
                  <c:v>10355.509643553421</c:v>
                </c:pt>
                <c:pt idx="44">
                  <c:v>10355.247003553421</c:v>
                </c:pt>
                <c:pt idx="45">
                  <c:v>652.42441199999996</c:v>
                </c:pt>
                <c:pt idx="46">
                  <c:v>10236.555689999999</c:v>
                </c:pt>
                <c:pt idx="47">
                  <c:v>10236.555689999999</c:v>
                </c:pt>
                <c:pt idx="48">
                  <c:v>10236.424370000001</c:v>
                </c:pt>
                <c:pt idx="49">
                  <c:v>662.90924399999994</c:v>
                </c:pt>
                <c:pt idx="50">
                  <c:v>10239.384974000001</c:v>
                </c:pt>
                <c:pt idx="51">
                  <c:v>10236.3626496</c:v>
                </c:pt>
                <c:pt idx="52">
                  <c:v>583.60839024000006</c:v>
                </c:pt>
                <c:pt idx="53">
                  <c:v>10236.3166876</c:v>
                </c:pt>
                <c:pt idx="54">
                  <c:v>10236.29305</c:v>
                </c:pt>
                <c:pt idx="55">
                  <c:v>10293.29305</c:v>
                </c:pt>
                <c:pt idx="56">
                  <c:v>10236.29305</c:v>
                </c:pt>
                <c:pt idx="57">
                  <c:v>10236.29305</c:v>
                </c:pt>
                <c:pt idx="58">
                  <c:v>10236.29305</c:v>
                </c:pt>
                <c:pt idx="59">
                  <c:v>583.55165999999997</c:v>
                </c:pt>
                <c:pt idx="60">
                  <c:v>10239.29305</c:v>
                </c:pt>
                <c:pt idx="61">
                  <c:v>10236.29305</c:v>
                </c:pt>
                <c:pt idx="62">
                  <c:v>10236.29305</c:v>
                </c:pt>
                <c:pt idx="63">
                  <c:v>10236.29305</c:v>
                </c:pt>
                <c:pt idx="64">
                  <c:v>10236.29305</c:v>
                </c:pt>
              </c:numCache>
            </c:numRef>
          </c:val>
          <c:smooth val="0"/>
          <c:extLst>
            <c:ext xmlns:c15="http://schemas.microsoft.com/office/drawing/2012/chart" uri="{02D57815-91ED-43cb-92C2-25804820EDAC}">
              <c15:datalabelsRange>
                <c15:f>サマリ!$AY$6:$AY$70</c15:f>
                <c15:dlblRangeCache>
                  <c:ptCount val="65"/>
                  <c:pt idx="3">
                    <c:v>車,</c:v>
                  </c:pt>
                  <c:pt idx="10">
                    <c:v>車,</c:v>
                  </c:pt>
                  <c:pt idx="17">
                    <c:v>車,</c:v>
                  </c:pt>
                  <c:pt idx="22">
                    <c:v>大学入学,</c:v>
                  </c:pt>
                  <c:pt idx="24">
                    <c:v>車,</c:v>
                  </c:pt>
                  <c:pt idx="25">
                    <c:v>大学入学,</c:v>
                  </c:pt>
                  <c:pt idx="29">
                    <c:v>リフォーム,</c:v>
                  </c:pt>
                  <c:pt idx="31">
                    <c:v>車,</c:v>
                  </c:pt>
                  <c:pt idx="38">
                    <c:v>車,</c:v>
                  </c:pt>
                  <c:pt idx="39">
                    <c:v>リフォーム,</c:v>
                  </c:pt>
                  <c:pt idx="45">
                    <c:v>車,</c:v>
                  </c:pt>
                  <c:pt idx="49">
                    <c:v>リフォーム,</c:v>
                  </c:pt>
                  <c:pt idx="52">
                    <c:v>車,</c:v>
                  </c:pt>
                  <c:pt idx="59">
                    <c:v>車,</c:v>
                  </c:pt>
                </c15:dlblRangeCache>
              </c15:datalabelsRange>
            </c:ext>
            <c:ext xmlns:c16="http://schemas.microsoft.com/office/drawing/2014/chart" uri="{C3380CC4-5D6E-409C-BE32-E72D297353CC}">
              <c16:uniqueId val="{00000045-7421-40E0-A917-66220DC7667F}"/>
            </c:ext>
          </c:extLst>
        </c:ser>
        <c:dLbls>
          <c:showLegendKey val="0"/>
          <c:showVal val="0"/>
          <c:showCatName val="0"/>
          <c:showSerName val="0"/>
          <c:showPercent val="0"/>
          <c:showBubbleSize val="0"/>
        </c:dLbls>
        <c:marker val="1"/>
        <c:smooth val="0"/>
        <c:axId val="829104848"/>
        <c:axId val="829106808"/>
      </c:lineChart>
      <c:lineChart>
        <c:grouping val="standard"/>
        <c:varyColors val="0"/>
        <c:ser>
          <c:idx val="1"/>
          <c:order val="3"/>
          <c:tx>
            <c:strRef>
              <c:f>サマリ!$AM$2</c:f>
              <c:strCache>
                <c:ptCount val="1"/>
                <c:pt idx="0">
                  <c:v>収支累計</c:v>
                </c:pt>
              </c:strCache>
            </c:strRef>
          </c:tx>
          <c:spPr>
            <a:ln w="76200">
              <a:solidFill>
                <a:srgbClr val="00B050"/>
              </a:solidFill>
              <a:prstDash val="solid"/>
            </a:ln>
          </c:spPr>
          <c:marker>
            <c:symbol val="none"/>
          </c:marker>
          <c:val>
            <c:numRef>
              <c:f>サマリ!$AM$6:$AM$70</c:f>
              <c:numCache>
                <c:formatCode>#,##0\ ;[Red]\-#,##0\ ;\-\ </c:formatCode>
                <c:ptCount val="65"/>
                <c:pt idx="0">
                  <c:v>44.820799999999963</c:v>
                </c:pt>
                <c:pt idx="1">
                  <c:v>110.24159999999995</c:v>
                </c:pt>
                <c:pt idx="2">
                  <c:v>184.46239999999989</c:v>
                </c:pt>
                <c:pt idx="3">
                  <c:v>-26.341980000000149</c:v>
                </c:pt>
                <c:pt idx="4">
                  <c:v>-39.600676000000135</c:v>
                </c:pt>
                <c:pt idx="5">
                  <c:v>-78.856588000000329</c:v>
                </c:pt>
                <c:pt idx="6">
                  <c:v>-43.745180000000119</c:v>
                </c:pt>
                <c:pt idx="7">
                  <c:v>-66.993616000000202</c:v>
                </c:pt>
                <c:pt idx="8">
                  <c:v>-65.459428000000116</c:v>
                </c:pt>
                <c:pt idx="9">
                  <c:v>-55.497940000000199</c:v>
                </c:pt>
                <c:pt idx="10">
                  <c:v>-345.42721548895543</c:v>
                </c:pt>
                <c:pt idx="11">
                  <c:v>-323.42111091344509</c:v>
                </c:pt>
                <c:pt idx="12">
                  <c:v>-294.99602627346871</c:v>
                </c:pt>
                <c:pt idx="13">
                  <c:v>-232.64414956902715</c:v>
                </c:pt>
                <c:pt idx="14">
                  <c:v>-150.91205280011945</c:v>
                </c:pt>
                <c:pt idx="15">
                  <c:v>-122.60357596674635</c:v>
                </c:pt>
                <c:pt idx="16">
                  <c:v>-46.175339068906851</c:v>
                </c:pt>
                <c:pt idx="17">
                  <c:v>-261.19252210660261</c:v>
                </c:pt>
                <c:pt idx="18">
                  <c:v>-165.5456150798318</c:v>
                </c:pt>
                <c:pt idx="19">
                  <c:v>-110.53186798859542</c:v>
                </c:pt>
                <c:pt idx="20">
                  <c:v>-69.023481542016725</c:v>
                </c:pt>
                <c:pt idx="21">
                  <c:v>-8.6119950954362139</c:v>
                </c:pt>
                <c:pt idx="22">
                  <c:v>-28.764368648858635</c:v>
                </c:pt>
                <c:pt idx="23">
                  <c:v>7.7036857977209365</c:v>
                </c:pt>
                <c:pt idx="24">
                  <c:v>-238.52565975570087</c:v>
                </c:pt>
                <c:pt idx="25">
                  <c:v>-357.21746530912242</c:v>
                </c:pt>
                <c:pt idx="26">
                  <c:v>-280.4065308625427</c:v>
                </c:pt>
                <c:pt idx="27">
                  <c:v>-165.32654841596423</c:v>
                </c:pt>
                <c:pt idx="28">
                  <c:v>-58.383925969385473</c:v>
                </c:pt>
                <c:pt idx="29">
                  <c:v>-306.69244352280657</c:v>
                </c:pt>
                <c:pt idx="30">
                  <c:v>-202.09322107622665</c:v>
                </c:pt>
                <c:pt idx="31">
                  <c:v>-268.65135862964507</c:v>
                </c:pt>
                <c:pt idx="32">
                  <c:v>-68.194536183067612</c:v>
                </c:pt>
                <c:pt idx="33">
                  <c:v>103.30108626351102</c:v>
                </c:pt>
                <c:pt idx="34">
                  <c:v>238.57542071008811</c:v>
                </c:pt>
                <c:pt idx="35">
                  <c:v>289.02846715666874</c:v>
                </c:pt>
                <c:pt idx="36">
                  <c:v>358.35894360324528</c:v>
                </c:pt>
                <c:pt idx="37">
                  <c:v>419.77546004982287</c:v>
                </c:pt>
                <c:pt idx="38">
                  <c:v>171.45461649640038</c:v>
                </c:pt>
                <c:pt idx="39">
                  <c:v>-14.734907057021701</c:v>
                </c:pt>
                <c:pt idx="40">
                  <c:v>34.338209389559779</c:v>
                </c:pt>
                <c:pt idx="41">
                  <c:v>86.542645836138036</c:v>
                </c:pt>
                <c:pt idx="42">
                  <c:v>-0.83409381399997073</c:v>
                </c:pt>
                <c:pt idx="43">
                  <c:v>-88.079513464134834</c:v>
                </c:pt>
                <c:pt idx="44">
                  <c:v>-154.94659289888841</c:v>
                </c:pt>
                <c:pt idx="45">
                  <c:v>-410.25367878021643</c:v>
                </c:pt>
                <c:pt idx="46">
                  <c:v>-358.42944466154859</c:v>
                </c:pt>
                <c:pt idx="47">
                  <c:v>-306.6052105428771</c:v>
                </c:pt>
                <c:pt idx="48">
                  <c:v>-254.64965642420884</c:v>
                </c:pt>
                <c:pt idx="49">
                  <c:v>-518.69410230553694</c:v>
                </c:pt>
                <c:pt idx="50">
                  <c:v>-469.69915218686856</c:v>
                </c:pt>
                <c:pt idx="51">
                  <c:v>-417.68187766819665</c:v>
                </c:pt>
                <c:pt idx="52">
                  <c:v>-615.64227874952849</c:v>
                </c:pt>
                <c:pt idx="53">
                  <c:v>-563.57904223085643</c:v>
                </c:pt>
                <c:pt idx="54">
                  <c:v>-511.49216811218866</c:v>
                </c:pt>
                <c:pt idx="55">
                  <c:v>-516.40529399351726</c:v>
                </c:pt>
                <c:pt idx="56">
                  <c:v>-464.3184198748495</c:v>
                </c:pt>
                <c:pt idx="57">
                  <c:v>-412.23154575617809</c:v>
                </c:pt>
                <c:pt idx="58">
                  <c:v>-360.14467163751033</c:v>
                </c:pt>
                <c:pt idx="59">
                  <c:v>-558.05779751883892</c:v>
                </c:pt>
                <c:pt idx="60">
                  <c:v>-508.97092340017116</c:v>
                </c:pt>
                <c:pt idx="61">
                  <c:v>-456.88404928149976</c:v>
                </c:pt>
                <c:pt idx="62">
                  <c:v>-404.79717516283199</c:v>
                </c:pt>
                <c:pt idx="63">
                  <c:v>-352.71030104416059</c:v>
                </c:pt>
                <c:pt idx="64">
                  <c:v>-300.62342692549282</c:v>
                </c:pt>
              </c:numCache>
            </c:numRef>
          </c:val>
          <c:smooth val="0"/>
          <c:extLst>
            <c:ext xmlns:c16="http://schemas.microsoft.com/office/drawing/2014/chart" uri="{C3380CC4-5D6E-409C-BE32-E72D297353CC}">
              <c16:uniqueId val="{00000046-7421-40E0-A917-66220DC7667F}"/>
            </c:ext>
          </c:extLst>
        </c:ser>
        <c:dLbls>
          <c:showLegendKey val="0"/>
          <c:showVal val="0"/>
          <c:showCatName val="0"/>
          <c:showSerName val="0"/>
          <c:showPercent val="0"/>
          <c:showBubbleSize val="0"/>
        </c:dLbls>
        <c:marker val="1"/>
        <c:smooth val="0"/>
        <c:axId val="829106416"/>
        <c:axId val="829107200"/>
      </c:lineChart>
      <c:catAx>
        <c:axId val="829104848"/>
        <c:scaling>
          <c:orientation val="minMax"/>
        </c:scaling>
        <c:delete val="0"/>
        <c:axPos val="b"/>
        <c:majorGridlines/>
        <c:numFmt formatCode="#,##0\ ;[Red]\-#,##0\ ;\-\ " sourceLinked="1"/>
        <c:majorTickMark val="none"/>
        <c:minorTickMark val="none"/>
        <c:tickLblPos val="nextTo"/>
        <c:crossAx val="829106808"/>
        <c:crosses val="autoZero"/>
        <c:auto val="1"/>
        <c:lblAlgn val="ctr"/>
        <c:lblOffset val="100"/>
        <c:noMultiLvlLbl val="1"/>
      </c:catAx>
      <c:valAx>
        <c:axId val="829106808"/>
        <c:scaling>
          <c:orientation val="minMax"/>
          <c:max val="1000"/>
        </c:scaling>
        <c:delete val="0"/>
        <c:axPos val="l"/>
        <c:majorGridlines/>
        <c:numFmt formatCode="#,##0_);[Red]\(#,##0\)" sourceLinked="0"/>
        <c:majorTickMark val="none"/>
        <c:minorTickMark val="none"/>
        <c:tickLblPos val="nextTo"/>
        <c:txPr>
          <a:bodyPr/>
          <a:lstStyle/>
          <a:p>
            <a:pPr>
              <a:defRPr>
                <a:ln w="12700">
                  <a:solidFill>
                    <a:schemeClr val="accent6"/>
                  </a:solidFill>
                </a:ln>
                <a:solidFill>
                  <a:schemeClr val="accent6"/>
                </a:solidFill>
              </a:defRPr>
            </a:pPr>
            <a:endParaRPr lang="ja-JP"/>
          </a:p>
        </c:txPr>
        <c:crossAx val="829104848"/>
        <c:crosses val="autoZero"/>
        <c:crossBetween val="between"/>
      </c:valAx>
      <c:valAx>
        <c:axId val="829107200"/>
        <c:scaling>
          <c:orientation val="minMax"/>
        </c:scaling>
        <c:delete val="0"/>
        <c:axPos val="r"/>
        <c:numFmt formatCode="#,##0\ ;[Red]\-#,##0\ ;\-\ " sourceLinked="1"/>
        <c:majorTickMark val="out"/>
        <c:minorTickMark val="none"/>
        <c:tickLblPos val="nextTo"/>
        <c:spPr>
          <a:ln w="28575">
            <a:solidFill>
              <a:srgbClr val="00B050"/>
            </a:solidFill>
          </a:ln>
        </c:spPr>
        <c:txPr>
          <a:bodyPr/>
          <a:lstStyle/>
          <a:p>
            <a:pPr>
              <a:defRPr>
                <a:ln w="12700">
                  <a:solidFill>
                    <a:srgbClr val="00B050"/>
                  </a:solidFill>
                </a:ln>
                <a:solidFill>
                  <a:srgbClr val="00B050"/>
                </a:solidFill>
              </a:defRPr>
            </a:pPr>
            <a:endParaRPr lang="ja-JP"/>
          </a:p>
        </c:txPr>
        <c:crossAx val="829106416"/>
        <c:crosses val="max"/>
        <c:crossBetween val="between"/>
      </c:valAx>
      <c:catAx>
        <c:axId val="829106416"/>
        <c:scaling>
          <c:orientation val="minMax"/>
        </c:scaling>
        <c:delete val="1"/>
        <c:axPos val="b"/>
        <c:majorTickMark val="out"/>
        <c:minorTickMark val="none"/>
        <c:tickLblPos val="nextTo"/>
        <c:crossAx val="829107200"/>
        <c:crosses val="autoZero"/>
        <c:auto val="1"/>
        <c:lblAlgn val="ctr"/>
        <c:lblOffset val="100"/>
        <c:noMultiLvlLbl val="0"/>
      </c:catAx>
    </c:plotArea>
    <c:legend>
      <c:legendPos val="b"/>
      <c:overlay val="0"/>
    </c:legend>
    <c:plotVisOnly val="0"/>
    <c:dispBlanksAs val="gap"/>
    <c:showDLblsOverMax val="0"/>
  </c:chart>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親</a:t>
            </a:r>
            <a:r>
              <a:rPr lang="en-US" altLang="ja-JP"/>
              <a:t>1</a:t>
            </a:r>
            <a:r>
              <a:rPr lang="ja-JP" altLang="en-US"/>
              <a:t>の年収</a:t>
            </a:r>
          </a:p>
        </c:rich>
      </c:tx>
      <c:overlay val="0"/>
    </c:title>
    <c:autoTitleDeleted val="0"/>
    <c:plotArea>
      <c:layout>
        <c:manualLayout>
          <c:layoutTarget val="inner"/>
          <c:xMode val="edge"/>
          <c:yMode val="edge"/>
          <c:x val="7.0814602045342512E-2"/>
          <c:y val="0.12554361919163201"/>
          <c:w val="0.85723959268355432"/>
          <c:h val="0.73032082502502538"/>
        </c:manualLayout>
      </c:layout>
      <c:lineChart>
        <c:grouping val="standard"/>
        <c:varyColors val="0"/>
        <c:ser>
          <c:idx val="1"/>
          <c:order val="0"/>
          <c:tx>
            <c:strRef>
              <c:f>サマリ!$AM$2</c:f>
              <c:strCache>
                <c:ptCount val="1"/>
                <c:pt idx="0">
                  <c:v>収支累計</c:v>
                </c:pt>
              </c:strCache>
            </c:strRef>
          </c:tx>
          <c:spPr>
            <a:ln w="76200">
              <a:solidFill>
                <a:srgbClr val="00B050"/>
              </a:solidFill>
              <a:prstDash val="solid"/>
            </a:ln>
          </c:spPr>
          <c:marker>
            <c:symbol val="none"/>
          </c:marker>
          <c:cat>
            <c:numRef>
              <c:f>親1!$C$6:$C$70</c:f>
              <c:numCache>
                <c:formatCode>#,##0_);[Red]\(#,##0\)</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親1!$D$6:$D$69</c:f>
              <c:numCache>
                <c:formatCode>#,##0_);[Red]\(#,##0\)</c:formatCode>
                <c:ptCount val="64"/>
                <c:pt idx="0">
                  <c:v>369.7506557197238</c:v>
                </c:pt>
                <c:pt idx="1">
                  <c:v>382.13050993949867</c:v>
                </c:pt>
                <c:pt idx="2">
                  <c:v>393.37623919667942</c:v>
                </c:pt>
                <c:pt idx="3">
                  <c:v>404.95291932859095</c:v>
                </c:pt>
                <c:pt idx="4">
                  <c:v>416.87028989760228</c:v>
                </c:pt>
                <c:pt idx="5">
                  <c:v>429.13837709193047</c:v>
                </c:pt>
                <c:pt idx="6">
                  <c:v>441.76750216076061</c:v>
                </c:pt>
                <c:pt idx="7">
                  <c:v>452.62893912920146</c:v>
                </c:pt>
                <c:pt idx="8">
                  <c:v>463.75741885756111</c:v>
                </c:pt>
                <c:pt idx="9">
                  <c:v>475.1595069444644</c:v>
                </c:pt>
                <c:pt idx="10">
                  <c:v>486.84193041244208</c:v>
                </c:pt>
                <c:pt idx="11">
                  <c:v>498.81158167675022</c:v>
                </c:pt>
                <c:pt idx="12">
                  <c:v>508.05627670446523</c:v>
                </c:pt>
                <c:pt idx="13">
                  <c:v>517.47230774219861</c:v>
                </c:pt>
                <c:pt idx="14">
                  <c:v>527.06285023578619</c:v>
                </c:pt>
                <c:pt idx="15">
                  <c:v>536.83113848300195</c:v>
                </c:pt>
                <c:pt idx="16">
                  <c:v>546.78046672428684</c:v>
                </c:pt>
                <c:pt idx="17">
                  <c:v>555.69017209107403</c:v>
                </c:pt>
                <c:pt idx="18">
                  <c:v>564.74505976511989</c:v>
                </c:pt>
                <c:pt idx="19">
                  <c:v>573.94749547025833</c:v>
                </c:pt>
                <c:pt idx="20">
                  <c:v>583.29988347943709</c:v>
                </c:pt>
                <c:pt idx="21">
                  <c:v>592.80466724286941</c:v>
                </c:pt>
                <c:pt idx="22">
                  <c:v>602.58868895313367</c:v>
                </c:pt>
                <c:pt idx="23">
                  <c:v>612.53419232188764</c:v>
                </c:pt>
                <c:pt idx="24">
                  <c:v>622.64384254416086</c:v>
                </c:pt>
                <c:pt idx="25">
                  <c:v>632.92034880304038</c:v>
                </c:pt>
                <c:pt idx="26">
                  <c:v>643.36646499567848</c:v>
                </c:pt>
                <c:pt idx="27">
                  <c:v>641.21294335086088</c:v>
                </c:pt>
                <c:pt idx="28">
                  <c:v>639.066630125703</c:v>
                </c:pt>
                <c:pt idx="29">
                  <c:v>636.92750119167385</c:v>
                </c:pt>
                <c:pt idx="30">
                  <c:v>634.79553250100696</c:v>
                </c:pt>
                <c:pt idx="31">
                  <c:v>632.67070008643032</c:v>
                </c:pt>
                <c:pt idx="32">
                  <c:v>587.69028717591129</c:v>
                </c:pt>
                <c:pt idx="33">
                  <c:v>545.9078057411574</c:v>
                </c:pt>
                <c:pt idx="34">
                  <c:v>507.09589535877654</c:v>
                </c:pt>
                <c:pt idx="35">
                  <c:v>471.04336004245619</c:v>
                </c:pt>
                <c:pt idx="36">
                  <c:v>437.55401901469321</c:v>
                </c:pt>
                <c:pt idx="37">
                  <c:v>437.55401901469321</c:v>
                </c:pt>
                <c:pt idx="38">
                  <c:v>437.55401901469321</c:v>
                </c:pt>
                <c:pt idx="39">
                  <c:v>437.55401901469321</c:v>
                </c:pt>
                <c:pt idx="40">
                  <c:v>437.55401901469321</c:v>
                </c:pt>
                <c:pt idx="41">
                  <c:v>437.55401901469321</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smooth val="0"/>
          <c:extLst>
            <c:ext xmlns:c16="http://schemas.microsoft.com/office/drawing/2014/chart" uri="{C3380CC4-5D6E-409C-BE32-E72D297353CC}">
              <c16:uniqueId val="{00000000-9477-4536-B624-32226E1069A9}"/>
            </c:ext>
          </c:extLst>
        </c:ser>
        <c:ser>
          <c:idx val="0"/>
          <c:order val="1"/>
          <c:tx>
            <c:strRef>
              <c:f>親1!$E$4</c:f>
              <c:strCache>
                <c:ptCount val="1"/>
                <c:pt idx="0">
                  <c:v>手取り</c:v>
                </c:pt>
              </c:strCache>
            </c:strRef>
          </c:tx>
          <c:marker>
            <c:symbol val="none"/>
          </c:marker>
          <c:cat>
            <c:numRef>
              <c:f>親1!$C$6:$C$70</c:f>
              <c:numCache>
                <c:formatCode>#,##0_);[Red]\(#,##0\)</c:formatCode>
                <c:ptCount val="65"/>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pt idx="38">
                  <c:v>62</c:v>
                </c:pt>
                <c:pt idx="39">
                  <c:v>63</c:v>
                </c:pt>
                <c:pt idx="40">
                  <c:v>64</c:v>
                </c:pt>
                <c:pt idx="41">
                  <c:v>65</c:v>
                </c:pt>
                <c:pt idx="42">
                  <c:v>66</c:v>
                </c:pt>
                <c:pt idx="43">
                  <c:v>67</c:v>
                </c:pt>
                <c:pt idx="44">
                  <c:v>68</c:v>
                </c:pt>
                <c:pt idx="45">
                  <c:v>69</c:v>
                </c:pt>
                <c:pt idx="46">
                  <c:v>70</c:v>
                </c:pt>
                <c:pt idx="47">
                  <c:v>71</c:v>
                </c:pt>
                <c:pt idx="48">
                  <c:v>72</c:v>
                </c:pt>
                <c:pt idx="49">
                  <c:v>73</c:v>
                </c:pt>
                <c:pt idx="50">
                  <c:v>74</c:v>
                </c:pt>
                <c:pt idx="51">
                  <c:v>75</c:v>
                </c:pt>
                <c:pt idx="52">
                  <c:v>76</c:v>
                </c:pt>
                <c:pt idx="53">
                  <c:v>77</c:v>
                </c:pt>
                <c:pt idx="54">
                  <c:v>78</c:v>
                </c:pt>
                <c:pt idx="55">
                  <c:v>79</c:v>
                </c:pt>
                <c:pt idx="56">
                  <c:v>80</c:v>
                </c:pt>
                <c:pt idx="57">
                  <c:v>81</c:v>
                </c:pt>
                <c:pt idx="58">
                  <c:v>82</c:v>
                </c:pt>
                <c:pt idx="59">
                  <c:v>83</c:v>
                </c:pt>
                <c:pt idx="60">
                  <c:v>84</c:v>
                </c:pt>
                <c:pt idx="61">
                  <c:v>85</c:v>
                </c:pt>
                <c:pt idx="62">
                  <c:v>86</c:v>
                </c:pt>
                <c:pt idx="63">
                  <c:v>87</c:v>
                </c:pt>
                <c:pt idx="64">
                  <c:v>88</c:v>
                </c:pt>
              </c:numCache>
            </c:numRef>
          </c:cat>
          <c:val>
            <c:numRef>
              <c:f>親1!$J$6:$J$70</c:f>
              <c:numCache>
                <c:formatCode>#,##0_);[Red]\(#,##0\)</c:formatCode>
                <c:ptCount val="65"/>
                <c:pt idx="0">
                  <c:v>281.50351999999998</c:v>
                </c:pt>
                <c:pt idx="1">
                  <c:v>299.10352</c:v>
                </c:pt>
                <c:pt idx="2">
                  <c:v>307.90352000000001</c:v>
                </c:pt>
                <c:pt idx="3">
                  <c:v>313.60374000000002</c:v>
                </c:pt>
                <c:pt idx="4">
                  <c:v>322.40374000000003</c:v>
                </c:pt>
                <c:pt idx="5">
                  <c:v>328.10396000000003</c:v>
                </c:pt>
                <c:pt idx="6">
                  <c:v>345.70396</c:v>
                </c:pt>
                <c:pt idx="7">
                  <c:v>351.21863999999999</c:v>
                </c:pt>
                <c:pt idx="8">
                  <c:v>359.61864000000003</c:v>
                </c:pt>
                <c:pt idx="9">
                  <c:v>368.01864</c:v>
                </c:pt>
                <c:pt idx="10">
                  <c:v>372.04247999999995</c:v>
                </c:pt>
                <c:pt idx="11">
                  <c:v>380.44247999999999</c:v>
                </c:pt>
                <c:pt idx="12">
                  <c:v>388.84248000000002</c:v>
                </c:pt>
                <c:pt idx="13">
                  <c:v>392.86632000000003</c:v>
                </c:pt>
                <c:pt idx="14">
                  <c:v>401.26632000000001</c:v>
                </c:pt>
                <c:pt idx="15">
                  <c:v>409.66631999999998</c:v>
                </c:pt>
                <c:pt idx="16">
                  <c:v>418.06632000000002</c:v>
                </c:pt>
                <c:pt idx="17">
                  <c:v>422.09016000000003</c:v>
                </c:pt>
                <c:pt idx="18">
                  <c:v>430.49016</c:v>
                </c:pt>
                <c:pt idx="19">
                  <c:v>438.89016000000004</c:v>
                </c:pt>
                <c:pt idx="20">
                  <c:v>447.29016000000001</c:v>
                </c:pt>
                <c:pt idx="21">
                  <c:v>451.31399999999996</c:v>
                </c:pt>
                <c:pt idx="22">
                  <c:v>459.714</c:v>
                </c:pt>
                <c:pt idx="23">
                  <c:v>468.11399999999998</c:v>
                </c:pt>
                <c:pt idx="24">
                  <c:v>472.13783999999998</c:v>
                </c:pt>
                <c:pt idx="25">
                  <c:v>480.53783999999996</c:v>
                </c:pt>
                <c:pt idx="26">
                  <c:v>488.93783999999999</c:v>
                </c:pt>
                <c:pt idx="27">
                  <c:v>488.93783999999999</c:v>
                </c:pt>
                <c:pt idx="28">
                  <c:v>480.53783999999996</c:v>
                </c:pt>
                <c:pt idx="29">
                  <c:v>480.53783999999996</c:v>
                </c:pt>
                <c:pt idx="30">
                  <c:v>480.53783999999996</c:v>
                </c:pt>
                <c:pt idx="31">
                  <c:v>480.53783999999996</c:v>
                </c:pt>
                <c:pt idx="32">
                  <c:v>447.29016000000001</c:v>
                </c:pt>
                <c:pt idx="33">
                  <c:v>418.06632000000002</c:v>
                </c:pt>
                <c:pt idx="34">
                  <c:v>388.84248000000002</c:v>
                </c:pt>
                <c:pt idx="35">
                  <c:v>368.01864</c:v>
                </c:pt>
                <c:pt idx="36">
                  <c:v>336.90395999999998</c:v>
                </c:pt>
                <c:pt idx="37">
                  <c:v>336.90395999999998</c:v>
                </c:pt>
                <c:pt idx="38">
                  <c:v>336.90395999999998</c:v>
                </c:pt>
                <c:pt idx="39">
                  <c:v>336.90395999999998</c:v>
                </c:pt>
                <c:pt idx="40">
                  <c:v>336.90395999999998</c:v>
                </c:pt>
                <c:pt idx="41">
                  <c:v>336.90395999999998</c:v>
                </c:pt>
                <c:pt idx="42">
                  <c:v>184.31014390328465</c:v>
                </c:pt>
                <c:pt idx="43">
                  <c:v>184.31014390328465</c:v>
                </c:pt>
                <c:pt idx="44">
                  <c:v>184.31014390328465</c:v>
                </c:pt>
                <c:pt idx="45">
                  <c:v>184.31014390328465</c:v>
                </c:pt>
                <c:pt idx="46">
                  <c:v>184.31014390328465</c:v>
                </c:pt>
                <c:pt idx="47">
                  <c:v>184.31014390328465</c:v>
                </c:pt>
                <c:pt idx="48">
                  <c:v>184.31014390328465</c:v>
                </c:pt>
                <c:pt idx="49">
                  <c:v>184.31014390328465</c:v>
                </c:pt>
                <c:pt idx="50">
                  <c:v>184.31014390328465</c:v>
                </c:pt>
                <c:pt idx="51">
                  <c:v>184.31014390328465</c:v>
                </c:pt>
                <c:pt idx="52">
                  <c:v>184.31014390328465</c:v>
                </c:pt>
                <c:pt idx="53">
                  <c:v>184.31014390328465</c:v>
                </c:pt>
                <c:pt idx="54">
                  <c:v>184.31014390328465</c:v>
                </c:pt>
                <c:pt idx="55">
                  <c:v>184.31014390328465</c:v>
                </c:pt>
                <c:pt idx="56">
                  <c:v>184.31014390328465</c:v>
                </c:pt>
                <c:pt idx="57">
                  <c:v>184.31014390328465</c:v>
                </c:pt>
                <c:pt idx="58">
                  <c:v>184.31014390328465</c:v>
                </c:pt>
                <c:pt idx="59">
                  <c:v>184.31014390328465</c:v>
                </c:pt>
                <c:pt idx="60">
                  <c:v>184.31014390328465</c:v>
                </c:pt>
                <c:pt idx="61">
                  <c:v>184.31014390328465</c:v>
                </c:pt>
                <c:pt idx="62">
                  <c:v>184.31014390328465</c:v>
                </c:pt>
                <c:pt idx="63">
                  <c:v>184.31014390328465</c:v>
                </c:pt>
                <c:pt idx="64">
                  <c:v>184.31014390328465</c:v>
                </c:pt>
              </c:numCache>
            </c:numRef>
          </c:val>
          <c:smooth val="0"/>
          <c:extLst>
            <c:ext xmlns:c16="http://schemas.microsoft.com/office/drawing/2014/chart" uri="{C3380CC4-5D6E-409C-BE32-E72D297353CC}">
              <c16:uniqueId val="{00000001-9477-4536-B624-32226E1069A9}"/>
            </c:ext>
          </c:extLst>
        </c:ser>
        <c:dLbls>
          <c:showLegendKey val="0"/>
          <c:showVal val="0"/>
          <c:showCatName val="0"/>
          <c:showSerName val="0"/>
          <c:showPercent val="0"/>
          <c:showBubbleSize val="0"/>
        </c:dLbls>
        <c:smooth val="0"/>
        <c:axId val="829104456"/>
        <c:axId val="829105240"/>
      </c:lineChart>
      <c:catAx>
        <c:axId val="829104456"/>
        <c:scaling>
          <c:orientation val="minMax"/>
        </c:scaling>
        <c:delete val="0"/>
        <c:axPos val="b"/>
        <c:majorGridlines/>
        <c:numFmt formatCode="#,##0_);[Red]\(#,##0\)" sourceLinked="1"/>
        <c:majorTickMark val="none"/>
        <c:minorTickMark val="none"/>
        <c:tickLblPos val="nextTo"/>
        <c:crossAx val="829105240"/>
        <c:crosses val="autoZero"/>
        <c:auto val="1"/>
        <c:lblAlgn val="ctr"/>
        <c:lblOffset val="100"/>
        <c:noMultiLvlLbl val="1"/>
      </c:catAx>
      <c:valAx>
        <c:axId val="829105240"/>
        <c:scaling>
          <c:orientation val="minMax"/>
        </c:scaling>
        <c:delete val="0"/>
        <c:axPos val="l"/>
        <c:majorGridlines/>
        <c:numFmt formatCode="#,##0_);[Red]\(#,##0\)" sourceLinked="0"/>
        <c:majorTickMark val="none"/>
        <c:minorTickMark val="none"/>
        <c:tickLblPos val="nextTo"/>
        <c:txPr>
          <a:bodyPr/>
          <a:lstStyle/>
          <a:p>
            <a:pPr>
              <a:defRPr>
                <a:ln w="12700">
                  <a:solidFill>
                    <a:schemeClr val="accent6"/>
                  </a:solidFill>
                </a:ln>
                <a:solidFill>
                  <a:schemeClr val="accent6"/>
                </a:solidFill>
              </a:defRPr>
            </a:pPr>
            <a:endParaRPr lang="ja-JP"/>
          </a:p>
        </c:txPr>
        <c:crossAx val="829104456"/>
        <c:crosses val="autoZero"/>
        <c:crossBetween val="between"/>
      </c:valAx>
    </c:plotArea>
    <c:legend>
      <c:legendPos val="b"/>
      <c:overlay val="0"/>
    </c:legend>
    <c:plotVisOnly val="0"/>
    <c:dispBlanksAs val="gap"/>
    <c:showDLblsOverMax val="0"/>
  </c:chart>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定年までの支出</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D6-4773-B9E6-D72B5F1BB6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D6-4773-B9E6-D72B5F1BB6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D6-4773-B9E6-D72B5F1BB6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D6-4773-B9E6-D72B5F1BB6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6D6-4773-B9E6-D72B5F1BB6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6D6-4773-B9E6-D72B5F1BB67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6D6-4773-B9E6-D72B5F1BB67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6D6-4773-B9E6-D72B5F1BB6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FDE-4E51-8E92-95B54160AE6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13C-42ED-9B89-F3EC3817D3E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3-6FDE-4E51-8E92-95B54160AE67}"/>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入力!$BF$73:$BF$83</c:f>
              <c:strCache>
                <c:ptCount val="11"/>
                <c:pt idx="0">
                  <c:v>食費</c:v>
                </c:pt>
                <c:pt idx="1">
                  <c:v>服・日用品</c:v>
                </c:pt>
                <c:pt idx="2">
                  <c:v>光熱費</c:v>
                </c:pt>
                <c:pt idx="3">
                  <c:v>保険</c:v>
                </c:pt>
                <c:pt idx="4">
                  <c:v>通信</c:v>
                </c:pt>
                <c:pt idx="5">
                  <c:v>住居</c:v>
                </c:pt>
                <c:pt idx="6">
                  <c:v>車</c:v>
                </c:pt>
                <c:pt idx="7">
                  <c:v>家電・リフォーム</c:v>
                </c:pt>
                <c:pt idx="8">
                  <c:v>お小遣い</c:v>
                </c:pt>
                <c:pt idx="9">
                  <c:v>塾・習い事</c:v>
                </c:pt>
                <c:pt idx="10">
                  <c:v>学費・仕送り</c:v>
                </c:pt>
              </c:strCache>
            </c:strRef>
          </c:cat>
          <c:val>
            <c:numRef>
              <c:f>入力!$BG$73:$BG$83</c:f>
              <c:numCache>
                <c:formatCode>#,##0_);[Red]\(#,##0\)</c:formatCode>
                <c:ptCount val="11"/>
                <c:pt idx="0">
                  <c:v>3742.2000000000025</c:v>
                </c:pt>
                <c:pt idx="1">
                  <c:v>1385.9999999999995</c:v>
                </c:pt>
                <c:pt idx="2">
                  <c:v>1115.7299999999996</c:v>
                </c:pt>
                <c:pt idx="3">
                  <c:v>504</c:v>
                </c:pt>
                <c:pt idx="4">
                  <c:v>506.40000000000015</c:v>
                </c:pt>
                <c:pt idx="5">
                  <c:v>5833.4314301638642</c:v>
                </c:pt>
                <c:pt idx="6">
                  <c:v>2703</c:v>
                </c:pt>
                <c:pt idx="7">
                  <c:v>797</c:v>
                </c:pt>
                <c:pt idx="8">
                  <c:v>2244</c:v>
                </c:pt>
                <c:pt idx="9">
                  <c:v>432</c:v>
                </c:pt>
                <c:pt idx="10">
                  <c:v>1608.7309</c:v>
                </c:pt>
              </c:numCache>
            </c:numRef>
          </c:val>
          <c:extLst>
            <c:ext xmlns:c16="http://schemas.microsoft.com/office/drawing/2014/chart" uri="{C3380CC4-5D6E-409C-BE32-E72D297353CC}">
              <c16:uniqueId val="{00000010-56D6-4773-B9E6-D72B5F1BB67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2.emf"/><Relationship Id="rId7" Type="http://schemas.openxmlformats.org/officeDocument/2006/relationships/chart" Target="../charts/chart2.xml"/><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image" Target="../media/image5.emf"/><Relationship Id="rId5" Type="http://schemas.openxmlformats.org/officeDocument/2006/relationships/image" Target="../media/image4.emf"/><Relationship Id="rId10" Type="http://schemas.openxmlformats.org/officeDocument/2006/relationships/chart" Target="../charts/chart3.xml"/><Relationship Id="rId4" Type="http://schemas.openxmlformats.org/officeDocument/2006/relationships/image" Target="../media/image3.emf"/><Relationship Id="rId9"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0</xdr:colOff>
      <xdr:row>72</xdr:row>
      <xdr:rowOff>0</xdr:rowOff>
    </xdr:from>
    <xdr:to>
      <xdr:col>28</xdr:col>
      <xdr:colOff>653143</xdr:colOff>
      <xdr:row>105</xdr:row>
      <xdr:rowOff>0</xdr:rowOff>
    </xdr:to>
    <xdr:graphicFrame macro="">
      <xdr:nvGraphicFramePr>
        <xdr:cNvPr id="5" name="グラフ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23</xdr:col>
          <xdr:colOff>293096</xdr:colOff>
          <xdr:row>52</xdr:row>
          <xdr:rowOff>171961</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a:extLst>
                <a:ext uri="{84589F7E-364E-4C9E-8A38-B11213B215E9}">
                  <a14:cameraTool cellRange="$CE$43:$CH$52" spid="_x0000_s1819"/>
                </a:ext>
              </a:extLst>
            </xdr:cNvPicPr>
          </xdr:nvPicPr>
          <xdr:blipFill>
            <a:blip xmlns:r="http://schemas.openxmlformats.org/officeDocument/2006/relationships" r:embed="rId2"/>
            <a:srcRect/>
            <a:stretch>
              <a:fillRect/>
            </a:stretch>
          </xdr:blipFill>
          <xdr:spPr bwMode="auto">
            <a:xfrm>
              <a:off x="10436679" y="7565571"/>
              <a:ext cx="2252524" cy="194089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13730</xdr:colOff>
          <xdr:row>42</xdr:row>
          <xdr:rowOff>0</xdr:rowOff>
        </xdr:from>
        <xdr:to>
          <xdr:col>28</xdr:col>
          <xdr:colOff>108858</xdr:colOff>
          <xdr:row>52</xdr:row>
          <xdr:rowOff>175070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a:extLst>
                <a:ext uri="{84589F7E-364E-4C9E-8A38-B11213B215E9}">
                  <a14:cameraTool cellRange="$CJ$43:$CM$52" spid="_x0000_s1820"/>
                </a:ext>
              </a:extLst>
            </xdr:cNvPicPr>
          </xdr:nvPicPr>
          <xdr:blipFill>
            <a:blip xmlns:r="http://schemas.openxmlformats.org/officeDocument/2006/relationships" r:embed="rId3"/>
            <a:srcRect/>
            <a:stretch>
              <a:fillRect/>
            </a:stretch>
          </xdr:blipFill>
          <xdr:spPr bwMode="auto">
            <a:xfrm>
              <a:off x="15389801" y="10042071"/>
              <a:ext cx="2204235" cy="194399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28</xdr:col>
          <xdr:colOff>56780</xdr:colOff>
          <xdr:row>67</xdr:row>
          <xdr:rowOff>175070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a:extLst>
                <a:ext uri="{84589F7E-364E-4C9E-8A38-B11213B215E9}">
                  <a14:cameraTool cellRange="$CO$43:$CR$52" spid="_x0000_s1821"/>
                </a:ext>
              </a:extLst>
            </xdr:cNvPicPr>
          </xdr:nvPicPr>
          <xdr:blipFill>
            <a:blip xmlns:r="http://schemas.openxmlformats.org/officeDocument/2006/relationships" r:embed="rId4"/>
            <a:srcRect/>
            <a:stretch>
              <a:fillRect/>
            </a:stretch>
          </xdr:blipFill>
          <xdr:spPr bwMode="auto">
            <a:xfrm>
              <a:off x="18274393" y="4640036"/>
              <a:ext cx="2165887" cy="194399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332015</xdr:colOff>
          <xdr:row>54</xdr:row>
          <xdr:rowOff>152400</xdr:rowOff>
        </xdr:from>
        <xdr:to>
          <xdr:col>47</xdr:col>
          <xdr:colOff>571501</xdr:colOff>
          <xdr:row>70</xdr:row>
          <xdr:rowOff>108858</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a:extLst>
                <a:ext uri="{84589F7E-364E-4C9E-8A38-B11213B215E9}">
                  <a14:cameraTool cellRange="$CT$43:$DB$57" spid="_x0000_s1822"/>
                </a:ext>
              </a:extLst>
            </xdr:cNvPicPr>
          </xdr:nvPicPr>
          <xdr:blipFill>
            <a:blip xmlns:r="http://schemas.openxmlformats.org/officeDocument/2006/relationships" r:embed="rId5"/>
            <a:srcRect/>
            <a:stretch>
              <a:fillRect/>
            </a:stretch>
          </xdr:blipFill>
          <xdr:spPr bwMode="auto">
            <a:xfrm>
              <a:off x="23083158" y="9935936"/>
              <a:ext cx="5587093" cy="27867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0</xdr:rowOff>
        </xdr:from>
        <xdr:to>
          <xdr:col>11</xdr:col>
          <xdr:colOff>10466</xdr:colOff>
          <xdr:row>67</xdr:row>
          <xdr:rowOff>163285</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a:extLst>
                <a:ext uri="{84589F7E-364E-4C9E-8A38-B11213B215E9}">
                  <a14:cameraTool cellRange="$BD$42:$BM$68" spid="_x0000_s1823"/>
                </a:ext>
              </a:extLst>
            </xdr:cNvPicPr>
          </xdr:nvPicPr>
          <xdr:blipFill>
            <a:blip xmlns:r="http://schemas.openxmlformats.org/officeDocument/2006/relationships" r:embed="rId6"/>
            <a:srcRect/>
            <a:stretch>
              <a:fillRect/>
            </a:stretch>
          </xdr:blipFill>
          <xdr:spPr bwMode="auto">
            <a:xfrm>
              <a:off x="802821" y="6858000"/>
              <a:ext cx="4909038" cy="4762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xdr:col>
      <xdr:colOff>1</xdr:colOff>
      <xdr:row>106</xdr:row>
      <xdr:rowOff>0</xdr:rowOff>
    </xdr:from>
    <xdr:to>
      <xdr:col>28</xdr:col>
      <xdr:colOff>639537</xdr:colOff>
      <xdr:row>139</xdr:row>
      <xdr:rowOff>13607</xdr:rowOff>
    </xdr:to>
    <xdr:graphicFrame macro="">
      <xdr:nvGraphicFramePr>
        <xdr:cNvPr id="11" name="グラフ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29</xdr:col>
          <xdr:colOff>0</xdr:colOff>
          <xdr:row>42</xdr:row>
          <xdr:rowOff>0</xdr:rowOff>
        </xdr:from>
        <xdr:to>
          <xdr:col>37</xdr:col>
          <xdr:colOff>325210</xdr:colOff>
          <xdr:row>70</xdr:row>
          <xdr:rowOff>9525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a:extLst>
                <a:ext uri="{84589F7E-364E-4C9E-8A38-B11213B215E9}">
                  <a14:cameraTool cellRange="$DD$73:$DL$100" spid="_x0000_s1824"/>
                </a:ext>
              </a:extLst>
            </xdr:cNvPicPr>
          </xdr:nvPicPr>
          <xdr:blipFill>
            <a:blip xmlns:r="http://schemas.openxmlformats.org/officeDocument/2006/relationships" r:embed="rId8"/>
            <a:srcRect/>
            <a:stretch>
              <a:fillRect/>
            </a:stretch>
          </xdr:blipFill>
          <xdr:spPr bwMode="auto">
            <a:xfrm>
              <a:off x="16301357" y="7565571"/>
              <a:ext cx="5700032" cy="4962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0</xdr:rowOff>
        </xdr:from>
        <xdr:to>
          <xdr:col>20</xdr:col>
          <xdr:colOff>15815</xdr:colOff>
          <xdr:row>65</xdr:row>
          <xdr:rowOff>155873</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BW$43:$CC$65" spid="_x0000_s1825"/>
                </a:ext>
              </a:extLst>
            </xdr:cNvPicPr>
          </xdr:nvPicPr>
          <xdr:blipFill>
            <a:blip xmlns:r="http://schemas.openxmlformats.org/officeDocument/2006/relationships" r:embed="rId9"/>
            <a:srcRect/>
            <a:stretch>
              <a:fillRect/>
            </a:stretch>
          </xdr:blipFill>
          <xdr:spPr bwMode="auto">
            <a:xfrm>
              <a:off x="5851071" y="7660821"/>
              <a:ext cx="4288458" cy="422440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29</xdr:col>
      <xdr:colOff>312962</xdr:colOff>
      <xdr:row>73</xdr:row>
      <xdr:rowOff>9523</xdr:rowOff>
    </xdr:from>
    <xdr:to>
      <xdr:col>37</xdr:col>
      <xdr:colOff>544285</xdr:colOff>
      <xdr:row>104</xdr:row>
      <xdr:rowOff>0</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0.0594</cdr:x>
      <cdr:y>0.45582</cdr:y>
    </cdr:from>
    <cdr:to>
      <cdr:x>0.93528</cdr:x>
      <cdr:y>0.45582</cdr:y>
    </cdr:to>
    <cdr:cxnSp macro="">
      <cdr:nvCxnSpPr>
        <cdr:cNvPr id="3" name="直線コネクタ 2">
          <a:extLst xmlns:a="http://schemas.openxmlformats.org/drawingml/2006/main">
            <a:ext uri="{FF2B5EF4-FFF2-40B4-BE49-F238E27FC236}">
              <a16:creationId xmlns:a16="http://schemas.microsoft.com/office/drawing/2014/main" id="{7C6896DC-24AF-4F05-97B4-225E85A940AF}"/>
            </a:ext>
          </a:extLst>
        </cdr:cNvPr>
        <cdr:cNvCxnSpPr/>
      </cdr:nvCxnSpPr>
      <cdr:spPr>
        <a:xfrm xmlns:a="http://schemas.openxmlformats.org/drawingml/2006/main" flipH="1">
          <a:off x="911722" y="2667022"/>
          <a:ext cx="13443757" cy="0"/>
        </a:xfrm>
        <a:prstGeom xmlns:a="http://schemas.openxmlformats.org/drawingml/2006/main" prst="line">
          <a:avLst/>
        </a:prstGeom>
        <a:ln xmlns:a="http://schemas.openxmlformats.org/drawingml/2006/main" w="5715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0.60106</cdr:x>
      <cdr:y>0.12558</cdr:y>
    </cdr:from>
    <cdr:to>
      <cdr:x>0.60461</cdr:x>
      <cdr:y>0.90698</cdr:y>
    </cdr:to>
    <cdr:cxnSp macro="">
      <cdr:nvCxnSpPr>
        <cdr:cNvPr id="6" name="直線コネクタ 5">
          <a:extLst xmlns:a="http://schemas.openxmlformats.org/drawingml/2006/main">
            <a:ext uri="{FF2B5EF4-FFF2-40B4-BE49-F238E27FC236}">
              <a16:creationId xmlns:a16="http://schemas.microsoft.com/office/drawing/2014/main" id="{EF00A1F7-2AAD-4050-91A4-0C6496B18451}"/>
            </a:ext>
          </a:extLst>
        </cdr:cNvPr>
        <cdr:cNvCxnSpPr/>
      </cdr:nvCxnSpPr>
      <cdr:spPr>
        <a:xfrm xmlns:a="http://schemas.openxmlformats.org/drawingml/2006/main">
          <a:off x="9225644" y="734786"/>
          <a:ext cx="54427" cy="4572000"/>
        </a:xfrm>
        <a:prstGeom xmlns:a="http://schemas.openxmlformats.org/drawingml/2006/main" prst="line">
          <a:avLst/>
        </a:prstGeom>
        <a:ln xmlns:a="http://schemas.openxmlformats.org/drawingml/2006/main" w="5715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editAs="oneCell">
    <xdr:from>
      <xdr:col>49</xdr:col>
      <xdr:colOff>562696</xdr:colOff>
      <xdr:row>13</xdr:row>
      <xdr:rowOff>158483</xdr:rowOff>
    </xdr:from>
    <xdr:to>
      <xdr:col>56</xdr:col>
      <xdr:colOff>302790</xdr:colOff>
      <xdr:row>48</xdr:row>
      <xdr:rowOff>106283</xdr:rowOff>
    </xdr:to>
    <xdr:pic>
      <xdr:nvPicPr>
        <xdr:cNvPr id="3" name="図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31137946" y="2458090"/>
          <a:ext cx="4502594" cy="6139050"/>
        </a:xfrm>
        <a:prstGeom prst="rect">
          <a:avLst/>
        </a:prstGeom>
      </xdr:spPr>
    </xdr:pic>
    <xdr:clientData/>
  </xdr:twoCellAnchor>
  <xdr:twoCellAnchor editAs="oneCell">
    <xdr:from>
      <xdr:col>37</xdr:col>
      <xdr:colOff>435429</xdr:colOff>
      <xdr:row>16</xdr:row>
      <xdr:rowOff>95251</xdr:rowOff>
    </xdr:from>
    <xdr:to>
      <xdr:col>48</xdr:col>
      <xdr:colOff>191510</xdr:colOff>
      <xdr:row>56</xdr:row>
      <xdr:rowOff>116652</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22846393" y="2925537"/>
          <a:ext cx="7240010" cy="7097115"/>
        </a:xfrm>
        <a:prstGeom prst="rect">
          <a:avLst/>
        </a:prstGeom>
      </xdr:spPr>
    </xdr:pic>
    <xdr:clientData/>
  </xdr:twoCellAnchor>
  <xdr:twoCellAnchor editAs="oneCell">
    <xdr:from>
      <xdr:col>38</xdr:col>
      <xdr:colOff>381001</xdr:colOff>
      <xdr:row>41</xdr:row>
      <xdr:rowOff>149679</xdr:rowOff>
    </xdr:from>
    <xdr:to>
      <xdr:col>53</xdr:col>
      <xdr:colOff>225921</xdr:colOff>
      <xdr:row>100</xdr:row>
      <xdr:rowOff>163383</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23472322" y="7402286"/>
          <a:ext cx="10050278" cy="10450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144863</xdr:colOff>
      <xdr:row>42</xdr:row>
      <xdr:rowOff>80275</xdr:rowOff>
    </xdr:from>
    <xdr:to>
      <xdr:col>33</xdr:col>
      <xdr:colOff>372835</xdr:colOff>
      <xdr:row>85</xdr:row>
      <xdr:rowOff>158904</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7012772" y="7180730"/>
          <a:ext cx="5077063" cy="7525447"/>
        </a:xfrm>
        <a:prstGeom prst="rect">
          <a:avLst/>
        </a:prstGeom>
      </xdr:spPr>
    </xdr:pic>
    <xdr:clientData/>
  </xdr:twoCellAnchor>
  <xdr:twoCellAnchor editAs="oneCell">
    <xdr:from>
      <xdr:col>23</xdr:col>
      <xdr:colOff>593913</xdr:colOff>
      <xdr:row>3</xdr:row>
      <xdr:rowOff>89647</xdr:rowOff>
    </xdr:from>
    <xdr:to>
      <xdr:col>33</xdr:col>
      <xdr:colOff>595297</xdr:colOff>
      <xdr:row>31</xdr:row>
      <xdr:rowOff>101928</xdr:rowOff>
    </xdr:to>
    <xdr:pic>
      <xdr:nvPicPr>
        <xdr:cNvPr id="3" name="図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4982266" y="627529"/>
          <a:ext cx="6836973" cy="5605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714375</xdr:colOff>
      <xdr:row>2</xdr:row>
      <xdr:rowOff>76200</xdr:rowOff>
    </xdr:from>
    <xdr:to>
      <xdr:col>3</xdr:col>
      <xdr:colOff>714375</xdr:colOff>
      <xdr:row>4</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a:off x="3657600" y="438150"/>
          <a:ext cx="0"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723900</xdr:colOff>
      <xdr:row>2</xdr:row>
      <xdr:rowOff>66675</xdr:rowOff>
    </xdr:from>
    <xdr:to>
      <xdr:col>11</xdr:col>
      <xdr:colOff>276225</xdr:colOff>
      <xdr:row>2</xdr:row>
      <xdr:rowOff>66675</xdr:rowOff>
    </xdr:to>
    <xdr:cxnSp macro="">
      <xdr:nvCxnSpPr>
        <xdr:cNvPr id="3" name="直線コネクタ 2">
          <a:extLst>
            <a:ext uri="{FF2B5EF4-FFF2-40B4-BE49-F238E27FC236}">
              <a16:creationId xmlns:a16="http://schemas.microsoft.com/office/drawing/2014/main" id="{00000000-0008-0000-1200-000003000000}"/>
            </a:ext>
          </a:extLst>
        </xdr:cNvPr>
        <xdr:cNvCxnSpPr/>
      </xdr:nvCxnSpPr>
      <xdr:spPr>
        <a:xfrm>
          <a:off x="3667125" y="428625"/>
          <a:ext cx="9267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266700</xdr:colOff>
      <xdr:row>2</xdr:row>
      <xdr:rowOff>76200</xdr:rowOff>
    </xdr:from>
    <xdr:to>
      <xdr:col>11</xdr:col>
      <xdr:colOff>266700</xdr:colOff>
      <xdr:row>4</xdr:row>
      <xdr:rowOff>9525</xdr:rowOff>
    </xdr:to>
    <xdr:cxnSp macro="">
      <xdr:nvCxnSpPr>
        <xdr:cNvPr id="4" name="直線矢印コネクタ 3">
          <a:extLst>
            <a:ext uri="{FF2B5EF4-FFF2-40B4-BE49-F238E27FC236}">
              <a16:creationId xmlns:a16="http://schemas.microsoft.com/office/drawing/2014/main" id="{00000000-0008-0000-1200-000004000000}"/>
            </a:ext>
          </a:extLst>
        </xdr:cNvPr>
        <xdr:cNvCxnSpPr/>
      </xdr:nvCxnSpPr>
      <xdr:spPr>
        <a:xfrm>
          <a:off x="12925425" y="438150"/>
          <a:ext cx="0" cy="295275"/>
        </a:xfrm>
        <a:prstGeom prst="straightConnector1">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231322</xdr:colOff>
      <xdr:row>33</xdr:row>
      <xdr:rowOff>0</xdr:rowOff>
    </xdr:from>
    <xdr:to>
      <xdr:col>9</xdr:col>
      <xdr:colOff>93659</xdr:colOff>
      <xdr:row>79</xdr:row>
      <xdr:rowOff>105951</xdr:rowOff>
    </xdr:to>
    <xdr:pic>
      <xdr:nvPicPr>
        <xdr:cNvPr id="7" name="図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a:stretch>
          <a:fillRect/>
        </a:stretch>
      </xdr:blipFill>
      <xdr:spPr>
        <a:xfrm>
          <a:off x="911679" y="4463143"/>
          <a:ext cx="8108266" cy="8243023"/>
        </a:xfrm>
        <a:prstGeom prst="rect">
          <a:avLst/>
        </a:prstGeom>
      </xdr:spPr>
    </xdr:pic>
    <xdr:clientData/>
  </xdr:twoCellAnchor>
  <xdr:twoCellAnchor editAs="oneCell">
    <xdr:from>
      <xdr:col>10</xdr:col>
      <xdr:colOff>0</xdr:colOff>
      <xdr:row>33</xdr:row>
      <xdr:rowOff>0</xdr:rowOff>
    </xdr:from>
    <xdr:to>
      <xdr:col>21</xdr:col>
      <xdr:colOff>223449</xdr:colOff>
      <xdr:row>73</xdr:row>
      <xdr:rowOff>153982</xdr:rowOff>
    </xdr:to>
    <xdr:pic>
      <xdr:nvPicPr>
        <xdr:cNvPr id="8" name="図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9579429" y="5932714"/>
          <a:ext cx="7217520" cy="7229697"/>
        </a:xfrm>
        <a:prstGeom prst="rect">
          <a:avLst/>
        </a:prstGeom>
      </xdr:spPr>
    </xdr:pic>
    <xdr:clientData/>
  </xdr:twoCellAnchor>
  <xdr:twoCellAnchor editAs="oneCell">
    <xdr:from>
      <xdr:col>22</xdr:col>
      <xdr:colOff>0</xdr:colOff>
      <xdr:row>33</xdr:row>
      <xdr:rowOff>0</xdr:rowOff>
    </xdr:from>
    <xdr:to>
      <xdr:col>36</xdr:col>
      <xdr:colOff>153751</xdr:colOff>
      <xdr:row>46</xdr:row>
      <xdr:rowOff>129607</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3"/>
        <a:stretch>
          <a:fillRect/>
        </a:stretch>
      </xdr:blipFill>
      <xdr:spPr>
        <a:xfrm>
          <a:off x="17253857" y="4463143"/>
          <a:ext cx="9678751" cy="242921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hyperlink" Target="https://www.jil.go.jp/kokunai/statistics/timeseries/html/g0405.html"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2:DL105"/>
  <sheetViews>
    <sheetView showGridLines="0" tabSelected="1" zoomScale="70" zoomScaleNormal="70" workbookViewId="0">
      <selection activeCell="C2" sqref="C2"/>
    </sheetView>
  </sheetViews>
  <sheetFormatPr defaultRowHeight="14.25" outlineLevelRow="1" x14ac:dyDescent="0.25"/>
  <cols>
    <col min="2" max="2" width="1.625" customWidth="1"/>
    <col min="4" max="4" width="9" bestFit="1" customWidth="1"/>
    <col min="5" max="5" width="5.875" customWidth="1"/>
    <col min="6" max="6" width="7.125" bestFit="1" customWidth="1"/>
    <col min="7" max="7" width="1.75" customWidth="1"/>
    <col min="9" max="9" width="8.625" bestFit="1" customWidth="1"/>
    <col min="10" max="10" width="6.875" bestFit="1" customWidth="1"/>
    <col min="11" max="11" width="7.125" bestFit="1" customWidth="1"/>
    <col min="12" max="12" width="1.875" customWidth="1"/>
    <col min="13" max="14" width="4.375" customWidth="1"/>
    <col min="15" max="15" width="13.75" bestFit="1" customWidth="1"/>
    <col min="16" max="17" width="6.875" bestFit="1" customWidth="1"/>
    <col min="18" max="19" width="7.625" bestFit="1" customWidth="1"/>
    <col min="20" max="21" width="4.125" customWidth="1"/>
    <col min="22" max="22" width="14.625" customWidth="1"/>
    <col min="23" max="23" width="11.125" customWidth="1"/>
    <col min="24" max="24" width="11.375" bestFit="1" customWidth="1"/>
    <col min="26" max="26" width="11.75" bestFit="1" customWidth="1"/>
    <col min="27" max="27" width="4.375" customWidth="1"/>
    <col min="28" max="28" width="2.5" customWidth="1"/>
    <col min="29" max="29" width="19.875" customWidth="1"/>
    <col min="30" max="30" width="8" bestFit="1" customWidth="1"/>
    <col min="36" max="36" width="9" customWidth="1"/>
    <col min="39" max="41" width="5.125" customWidth="1"/>
    <col min="42" max="43" width="13.875" customWidth="1"/>
    <col min="44" max="44" width="5.125" customWidth="1"/>
    <col min="56" max="57" width="5.25" customWidth="1"/>
    <col min="59" max="59" width="8.375" style="1" bestFit="1" customWidth="1"/>
    <col min="60" max="60" width="7.625" style="1" bestFit="1" customWidth="1"/>
    <col min="61" max="61" width="8.75" style="1" bestFit="1" customWidth="1"/>
    <col min="62" max="62" width="3.25" style="1" customWidth="1"/>
    <col min="63" max="63" width="3.75" style="1" customWidth="1"/>
    <col min="64" max="64" width="6.875" style="1" bestFit="1" customWidth="1"/>
    <col min="65" max="65" width="10.25" style="1" bestFit="1" customWidth="1"/>
    <col min="66" max="67" width="8.75" style="1" customWidth="1"/>
    <col min="69" max="70" width="5.25" customWidth="1"/>
    <col min="72" max="73" width="9" style="1"/>
    <col min="75" max="76" width="5.25" customWidth="1"/>
    <col min="83" max="83" width="3.625" customWidth="1"/>
    <col min="84" max="84" width="6" customWidth="1"/>
    <col min="88" max="88" width="3.625" customWidth="1"/>
    <col min="89" max="89" width="6" customWidth="1"/>
    <col min="93" max="93" width="3.625" customWidth="1"/>
    <col min="94" max="94" width="6" customWidth="1"/>
    <col min="98" max="99" width="5.25" customWidth="1"/>
    <col min="100" max="100" width="10.125" bestFit="1" customWidth="1"/>
    <col min="101" max="101" width="9" style="1" customWidth="1"/>
    <col min="108" max="109" width="5.25" customWidth="1"/>
    <col min="110" max="110" width="10.125" bestFit="1" customWidth="1"/>
    <col min="111" max="111" width="9" style="1" customWidth="1"/>
  </cols>
  <sheetData>
    <row r="2" spans="2:52" ht="28.5" x14ac:dyDescent="0.25">
      <c r="C2" s="398" t="s">
        <v>554</v>
      </c>
    </row>
    <row r="3" spans="2:52" ht="21" x14ac:dyDescent="0.25">
      <c r="C3" s="369"/>
    </row>
    <row r="4" spans="2:52" x14ac:dyDescent="0.25">
      <c r="D4" s="350" t="s">
        <v>555</v>
      </c>
      <c r="E4" s="351"/>
      <c r="F4" s="351"/>
      <c r="G4" s="351"/>
      <c r="H4" s="351"/>
      <c r="I4" s="351"/>
      <c r="J4" s="154"/>
    </row>
    <row r="6" spans="2:52" x14ac:dyDescent="0.25">
      <c r="C6" t="s">
        <v>5</v>
      </c>
      <c r="D6" s="93">
        <v>2022</v>
      </c>
    </row>
    <row r="7" spans="2:52" ht="15" thickBot="1" x14ac:dyDescent="0.3">
      <c r="AT7" t="s">
        <v>606</v>
      </c>
    </row>
    <row r="8" spans="2:52" ht="15" thickBot="1" x14ac:dyDescent="0.3">
      <c r="B8" s="218"/>
      <c r="C8" s="219" t="s">
        <v>314</v>
      </c>
      <c r="D8" s="219"/>
      <c r="E8" s="219"/>
      <c r="F8" s="219"/>
      <c r="G8" s="219"/>
      <c r="H8" s="219"/>
      <c r="I8" s="219"/>
      <c r="J8" s="219"/>
      <c r="K8" s="219"/>
      <c r="L8" s="220"/>
      <c r="M8" s="218"/>
      <c r="N8" s="219" t="s">
        <v>315</v>
      </c>
      <c r="O8" s="219"/>
      <c r="P8" s="219"/>
      <c r="Q8" s="219"/>
      <c r="R8" s="219"/>
      <c r="S8" s="219"/>
      <c r="T8" s="220"/>
      <c r="U8" s="218"/>
      <c r="V8" s="219" t="s">
        <v>316</v>
      </c>
      <c r="W8" s="219"/>
      <c r="X8" s="219"/>
      <c r="Y8" s="219"/>
      <c r="Z8" s="219"/>
      <c r="AA8" s="220"/>
      <c r="AB8" s="218"/>
      <c r="AC8" s="219" t="s">
        <v>432</v>
      </c>
      <c r="AD8" s="219"/>
      <c r="AE8" s="219"/>
      <c r="AF8" s="219"/>
      <c r="AG8" s="219"/>
      <c r="AH8" s="219"/>
      <c r="AI8" s="219"/>
      <c r="AJ8" s="219"/>
      <c r="AK8" s="219"/>
      <c r="AL8" s="219"/>
      <c r="AM8" s="220"/>
      <c r="AN8" s="141"/>
      <c r="AO8" s="141"/>
      <c r="AT8" s="86" t="s">
        <v>617</v>
      </c>
      <c r="AU8" s="86">
        <f>SUM(F14,K14)</f>
        <v>620</v>
      </c>
      <c r="AV8" s="86" t="s">
        <v>586</v>
      </c>
      <c r="AX8" s="86" t="s">
        <v>40</v>
      </c>
      <c r="AY8" s="86">
        <f>F14</f>
        <v>500</v>
      </c>
      <c r="AZ8" s="86" t="s">
        <v>586</v>
      </c>
    </row>
    <row r="9" spans="2:52" outlineLevel="1" x14ac:dyDescent="0.25">
      <c r="B9" s="210"/>
      <c r="C9" s="211"/>
      <c r="D9" s="211"/>
      <c r="E9" s="211"/>
      <c r="F9" s="211"/>
      <c r="G9" s="211"/>
      <c r="H9" s="211"/>
      <c r="I9" s="211"/>
      <c r="J9" s="211"/>
      <c r="K9" s="211"/>
      <c r="L9" s="212"/>
      <c r="M9" s="210"/>
      <c r="N9" s="211"/>
      <c r="O9" s="211"/>
      <c r="P9" s="211"/>
      <c r="Q9" s="211"/>
      <c r="R9" s="211"/>
      <c r="S9" s="211"/>
      <c r="T9" s="212"/>
      <c r="U9" s="210"/>
      <c r="V9" s="211"/>
      <c r="W9" s="211"/>
      <c r="X9" s="211"/>
      <c r="Y9" s="211"/>
      <c r="Z9" s="211"/>
      <c r="AA9" s="212"/>
      <c r="AB9" s="213"/>
      <c r="AC9" s="141"/>
      <c r="AD9" s="141"/>
      <c r="AE9" s="141"/>
      <c r="AF9" s="141"/>
      <c r="AG9" s="141"/>
      <c r="AH9" s="141"/>
      <c r="AI9" s="141"/>
      <c r="AJ9" s="141"/>
      <c r="AK9" s="141"/>
      <c r="AL9" s="141"/>
      <c r="AM9" s="214"/>
      <c r="AX9" s="86" t="s">
        <v>41</v>
      </c>
      <c r="AY9" s="138">
        <f>K14</f>
        <v>120</v>
      </c>
      <c r="AZ9" s="86" t="s">
        <v>586</v>
      </c>
    </row>
    <row r="10" spans="2:52" outlineLevel="1" x14ac:dyDescent="0.25">
      <c r="B10" s="213"/>
      <c r="C10" s="86" t="s">
        <v>40</v>
      </c>
      <c r="D10" s="146" t="s">
        <v>218</v>
      </c>
      <c r="E10" s="146" t="s">
        <v>216</v>
      </c>
      <c r="F10" s="141"/>
      <c r="G10" s="141"/>
      <c r="H10" s="86" t="s">
        <v>41</v>
      </c>
      <c r="I10" s="146" t="s">
        <v>218</v>
      </c>
      <c r="J10" s="146" t="s">
        <v>216</v>
      </c>
      <c r="K10" s="141"/>
      <c r="L10" s="214"/>
      <c r="M10" s="213"/>
      <c r="N10" s="141"/>
      <c r="O10" s="141"/>
      <c r="P10" s="88" t="s">
        <v>1</v>
      </c>
      <c r="Q10" s="88" t="s">
        <v>2</v>
      </c>
      <c r="R10" s="88" t="s">
        <v>3</v>
      </c>
      <c r="S10" s="88" t="s">
        <v>4</v>
      </c>
      <c r="T10" s="214"/>
      <c r="U10" s="213"/>
      <c r="V10" s="141" t="s">
        <v>317</v>
      </c>
      <c r="W10" s="141" t="s">
        <v>313</v>
      </c>
      <c r="X10" s="141" t="s">
        <v>241</v>
      </c>
      <c r="Y10" s="141" t="s">
        <v>312</v>
      </c>
      <c r="Z10" s="141"/>
      <c r="AA10" s="214"/>
      <c r="AB10" s="213"/>
      <c r="AC10" s="86"/>
      <c r="AD10" s="86" t="s">
        <v>20</v>
      </c>
      <c r="AE10" s="86" t="s">
        <v>275</v>
      </c>
      <c r="AF10" s="86" t="s">
        <v>22</v>
      </c>
      <c r="AG10" s="86" t="s">
        <v>23</v>
      </c>
      <c r="AH10" s="86" t="s">
        <v>24</v>
      </c>
      <c r="AI10" s="86" t="s">
        <v>27</v>
      </c>
      <c r="AJ10" s="86" t="s">
        <v>28</v>
      </c>
      <c r="AK10" s="259" t="s">
        <v>35</v>
      </c>
      <c r="AL10" s="223" t="s">
        <v>507</v>
      </c>
      <c r="AM10" s="214"/>
      <c r="AT10" t="s">
        <v>607</v>
      </c>
    </row>
    <row r="11" spans="2:52" outlineLevel="1" x14ac:dyDescent="0.25">
      <c r="B11" s="213"/>
      <c r="C11" s="141"/>
      <c r="D11" s="101">
        <v>0</v>
      </c>
      <c r="E11" s="101">
        <v>0</v>
      </c>
      <c r="F11" s="141"/>
      <c r="G11" s="141"/>
      <c r="H11" s="141"/>
      <c r="I11" s="101">
        <v>0</v>
      </c>
      <c r="J11" s="101">
        <v>0</v>
      </c>
      <c r="K11" s="141"/>
      <c r="L11" s="214"/>
      <c r="M11" s="213"/>
      <c r="N11" s="141"/>
      <c r="O11" s="102" t="s">
        <v>0</v>
      </c>
      <c r="P11" s="101">
        <v>-4</v>
      </c>
      <c r="Q11" s="101">
        <v>-7</v>
      </c>
      <c r="R11" s="101"/>
      <c r="S11" s="101"/>
      <c r="T11" s="214"/>
      <c r="U11" s="213"/>
      <c r="V11" s="201" t="s">
        <v>552</v>
      </c>
      <c r="W11" s="138">
        <v>0</v>
      </c>
      <c r="X11" s="93">
        <f>W12-1</f>
        <v>23</v>
      </c>
      <c r="Y11" s="222">
        <v>7</v>
      </c>
      <c r="Z11" s="152">
        <f>Y11*12</f>
        <v>84</v>
      </c>
      <c r="AA11" s="214"/>
      <c r="AB11" s="213"/>
      <c r="AC11" s="86" t="s">
        <v>298</v>
      </c>
      <c r="AD11" s="110">
        <v>2.7</v>
      </c>
      <c r="AE11" s="110">
        <v>1</v>
      </c>
      <c r="AF11" s="110">
        <v>0.5</v>
      </c>
      <c r="AG11" s="110">
        <v>0.4</v>
      </c>
      <c r="AH11" s="110">
        <v>0.25</v>
      </c>
      <c r="AI11" s="110">
        <v>0.5</v>
      </c>
      <c r="AJ11" s="110">
        <v>0.2</v>
      </c>
      <c r="AK11" s="260">
        <f>SUM(AD11:AJ11)</f>
        <v>5.5500000000000007</v>
      </c>
      <c r="AL11" s="223">
        <v>1</v>
      </c>
      <c r="AM11" s="214"/>
      <c r="AT11" s="86" t="s">
        <v>584</v>
      </c>
      <c r="AU11" s="86">
        <f>COUNT(P11:S11)</f>
        <v>2</v>
      </c>
      <c r="AV11" s="86" t="s">
        <v>587</v>
      </c>
      <c r="AX11" s="138" t="s">
        <v>605</v>
      </c>
    </row>
    <row r="12" spans="2:52" ht="15" outlineLevel="1" thickBot="1" x14ac:dyDescent="0.3">
      <c r="B12" s="213"/>
      <c r="C12" s="141"/>
      <c r="D12" s="141"/>
      <c r="E12" s="141"/>
      <c r="F12" s="141"/>
      <c r="G12" s="141"/>
      <c r="H12" s="141"/>
      <c r="I12" s="141"/>
      <c r="J12" s="141"/>
      <c r="K12" s="141"/>
      <c r="L12" s="214"/>
      <c r="M12" s="213"/>
      <c r="N12" s="141"/>
      <c r="O12" s="141"/>
      <c r="P12" s="258" t="s">
        <v>372</v>
      </c>
      <c r="Q12" s="141"/>
      <c r="R12" s="141"/>
      <c r="S12" s="141"/>
      <c r="T12" s="214"/>
      <c r="U12" s="213"/>
      <c r="V12" s="201" t="s">
        <v>564</v>
      </c>
      <c r="W12" s="138">
        <f>INDEX(親1!C:C,MATCH(入力!V12,親1!AU:AU,0))</f>
        <v>24</v>
      </c>
      <c r="X12" s="93">
        <f t="shared" ref="X12:X15" si="0">W13-1</f>
        <v>27</v>
      </c>
      <c r="Y12" s="222">
        <v>8</v>
      </c>
      <c r="Z12" s="152">
        <f t="shared" ref="Z12" si="1">Y12*12</f>
        <v>96</v>
      </c>
      <c r="AA12" s="214"/>
      <c r="AB12" s="213"/>
      <c r="AC12" s="86" t="s">
        <v>370</v>
      </c>
      <c r="AD12" s="110">
        <f>AD11</f>
        <v>2.7</v>
      </c>
      <c r="AE12" s="110">
        <f>AE11</f>
        <v>1</v>
      </c>
      <c r="AF12" s="110">
        <f>AF11*0.5</f>
        <v>0.25</v>
      </c>
      <c r="AG12" s="110">
        <f>AG11*0.5</f>
        <v>0.2</v>
      </c>
      <c r="AH12" s="110">
        <f>AH11*0.5</f>
        <v>0.125</v>
      </c>
      <c r="AI12" s="110">
        <v>0</v>
      </c>
      <c r="AJ12" s="110">
        <f>AJ11</f>
        <v>0.2</v>
      </c>
      <c r="AK12" s="260">
        <f t="shared" ref="AK12:AK14" si="2">SUM(AD12:AJ12)</f>
        <v>4.4750000000000005</v>
      </c>
      <c r="AL12" s="223">
        <v>1</v>
      </c>
      <c r="AM12" s="214"/>
      <c r="AT12" s="86" t="s">
        <v>54</v>
      </c>
      <c r="AU12" s="86" t="str">
        <f>P28</f>
        <v>公立</v>
      </c>
      <c r="AV12" s="86" t="s">
        <v>602</v>
      </c>
      <c r="AX12" s="86" t="s">
        <v>63</v>
      </c>
      <c r="AY12" s="371">
        <f>$P$18</f>
        <v>1</v>
      </c>
      <c r="AZ12" s="86" t="s">
        <v>586</v>
      </c>
    </row>
    <row r="13" spans="2:52" ht="15" outlineLevel="1" thickTop="1" x14ac:dyDescent="0.25">
      <c r="B13" s="213"/>
      <c r="G13" s="141"/>
      <c r="H13" s="141"/>
      <c r="I13" s="141"/>
      <c r="J13" s="141"/>
      <c r="K13" s="141"/>
      <c r="L13" s="214"/>
      <c r="M13" s="213"/>
      <c r="N13" s="270" t="s">
        <v>276</v>
      </c>
      <c r="O13" s="271" t="s">
        <v>63</v>
      </c>
      <c r="P13" s="272" t="s">
        <v>56</v>
      </c>
      <c r="Q13" s="272" t="s">
        <v>56</v>
      </c>
      <c r="R13" s="272" t="s">
        <v>56</v>
      </c>
      <c r="S13" s="273" t="s">
        <v>56</v>
      </c>
      <c r="T13" s="214"/>
      <c r="U13" s="213"/>
      <c r="V13" s="201" t="s">
        <v>562</v>
      </c>
      <c r="W13" s="138">
        <f>INDEX(親1!C:C,MATCH(入力!V13,親1!AU:AU,0))</f>
        <v>28</v>
      </c>
      <c r="X13" s="93">
        <f t="shared" si="0"/>
        <v>30</v>
      </c>
      <c r="Y13" s="222">
        <v>8</v>
      </c>
      <c r="Z13" s="152">
        <f>Y13*12</f>
        <v>96</v>
      </c>
      <c r="AA13" s="214"/>
      <c r="AB13" s="213"/>
      <c r="AC13" s="86" t="s">
        <v>371</v>
      </c>
      <c r="AD13" s="110">
        <f>AD11*0.5</f>
        <v>1.35</v>
      </c>
      <c r="AE13" s="110">
        <f>AE11*0.5</f>
        <v>0.5</v>
      </c>
      <c r="AF13" s="110">
        <f>AF11*0.25</f>
        <v>0.125</v>
      </c>
      <c r="AG13" s="110">
        <f t="shared" ref="AG13:AI13" si="3">AG11*0.25</f>
        <v>0.1</v>
      </c>
      <c r="AH13" s="110">
        <f t="shared" si="3"/>
        <v>6.25E-2</v>
      </c>
      <c r="AI13" s="110">
        <f t="shared" si="3"/>
        <v>0.125</v>
      </c>
      <c r="AJ13" s="110">
        <f>AJ11</f>
        <v>0.2</v>
      </c>
      <c r="AK13" s="260">
        <f t="shared" si="2"/>
        <v>2.4625000000000004</v>
      </c>
      <c r="AL13" s="223">
        <f>COUNT(P11:S11)</f>
        <v>2</v>
      </c>
      <c r="AM13" s="214"/>
      <c r="AT13" s="86" t="s">
        <v>67</v>
      </c>
      <c r="AU13" s="86" t="str">
        <f>Q31</f>
        <v>公立</v>
      </c>
      <c r="AV13" s="86" t="s">
        <v>603</v>
      </c>
      <c r="AX13" s="86" t="s">
        <v>52</v>
      </c>
      <c r="AY13" s="371">
        <f>$P$24</f>
        <v>1</v>
      </c>
      <c r="AZ13" s="86" t="s">
        <v>586</v>
      </c>
    </row>
    <row r="14" spans="2:52" outlineLevel="1" x14ac:dyDescent="0.25">
      <c r="B14" s="213"/>
      <c r="C14" s="86" t="s">
        <v>549</v>
      </c>
      <c r="D14" s="345"/>
      <c r="E14" s="294"/>
      <c r="F14" s="93">
        <v>500</v>
      </c>
      <c r="H14" s="86" t="s">
        <v>549</v>
      </c>
      <c r="I14" s="345"/>
      <c r="J14" s="294"/>
      <c r="K14" s="93">
        <v>120</v>
      </c>
      <c r="L14" s="214"/>
      <c r="M14" s="213"/>
      <c r="N14" s="274" t="s">
        <v>277</v>
      </c>
      <c r="O14" s="102" t="s">
        <v>170</v>
      </c>
      <c r="P14" s="101"/>
      <c r="Q14" s="101"/>
      <c r="R14" s="101"/>
      <c r="S14" s="275"/>
      <c r="T14" s="214"/>
      <c r="U14" s="213"/>
      <c r="V14" s="201" t="s">
        <v>565</v>
      </c>
      <c r="W14" s="138">
        <f>INDEX(親1!C:C,MATCH(入力!V14,親1!AU:AU,0))</f>
        <v>31</v>
      </c>
      <c r="X14" s="93">
        <f t="shared" si="0"/>
        <v>54</v>
      </c>
      <c r="Y14" s="222">
        <v>10</v>
      </c>
      <c r="Z14" s="152">
        <f t="shared" ref="Z14:Z15" si="4">Y14*12</f>
        <v>120</v>
      </c>
      <c r="AA14" s="214"/>
      <c r="AB14" s="213"/>
      <c r="AC14" s="197" t="s">
        <v>616</v>
      </c>
      <c r="AD14" s="223">
        <f>サマリ!M1/12</f>
        <v>8.9100000000000019</v>
      </c>
      <c r="AE14" s="223">
        <f>サマリ!N1/12</f>
        <v>3.3000000000000003</v>
      </c>
      <c r="AF14" s="223">
        <f>サマリ!O1/12</f>
        <v>1.1000000000000001</v>
      </c>
      <c r="AG14" s="223">
        <f>サマリ!P1/12</f>
        <v>0.88000000000000023</v>
      </c>
      <c r="AH14" s="223">
        <f>サマリ!Q1/12</f>
        <v>0.55000000000000004</v>
      </c>
      <c r="AI14" s="223">
        <f>サマリ!V1/12</f>
        <v>0.5</v>
      </c>
      <c r="AJ14" s="223">
        <f>サマリ!W1/12</f>
        <v>0.80000000000000016</v>
      </c>
      <c r="AK14" s="260">
        <f t="shared" si="2"/>
        <v>16.040000000000003</v>
      </c>
      <c r="AL14" s="223">
        <f>SUM(AL11:AL13)</f>
        <v>4</v>
      </c>
      <c r="AM14" s="214"/>
      <c r="AX14" s="86" t="s">
        <v>64</v>
      </c>
      <c r="AY14" s="371">
        <f>$P$24</f>
        <v>1</v>
      </c>
      <c r="AZ14" s="86" t="s">
        <v>586</v>
      </c>
    </row>
    <row r="15" spans="2:52" ht="15" outlineLevel="1" thickBot="1" x14ac:dyDescent="0.3">
      <c r="B15" s="213"/>
      <c r="L15" s="214"/>
      <c r="M15" s="213"/>
      <c r="N15" s="276" t="s">
        <v>421</v>
      </c>
      <c r="O15" s="277" t="s">
        <v>172</v>
      </c>
      <c r="P15" s="278">
        <v>0</v>
      </c>
      <c r="Q15" s="278">
        <v>0</v>
      </c>
      <c r="R15" s="278">
        <v>0</v>
      </c>
      <c r="S15" s="279">
        <v>0</v>
      </c>
      <c r="T15" s="214"/>
      <c r="U15" s="213"/>
      <c r="V15" s="201" t="s">
        <v>563</v>
      </c>
      <c r="W15" s="138">
        <f>INDEX(親1!C:C,MATCH(入力!V15,親1!AU:AU,0))</f>
        <v>55</v>
      </c>
      <c r="X15" s="93">
        <f t="shared" si="0"/>
        <v>64</v>
      </c>
      <c r="Y15" s="222">
        <v>10</v>
      </c>
      <c r="Z15" s="152">
        <f t="shared" si="4"/>
        <v>120</v>
      </c>
      <c r="AA15" s="214"/>
      <c r="AB15" s="213"/>
      <c r="AC15" s="224" t="str">
        <f>COUNTA(P11:S11)+2&amp;"人家族の平均値)"</f>
        <v>4人家族の平均値)</v>
      </c>
      <c r="AD15" s="225">
        <f>VLOOKUP($AL14,変動費!$C$23:$J$27,2,0)</f>
        <v>8.1092999999999993</v>
      </c>
      <c r="AE15" s="225">
        <f>VLOOKUP($AL14,変動費!$C$23:$J$27,3,0)</f>
        <v>2.1204000000000001</v>
      </c>
      <c r="AF15" s="225">
        <f>VLOOKUP($AL14,変動費!$C$23:$J$27,4,0)</f>
        <v>1.8752</v>
      </c>
      <c r="AG15" s="225" t="str">
        <f>VLOOKUP($AL14,変動費!$C$23:$J$27,5,0)</f>
        <v>←含む</v>
      </c>
      <c r="AH15" s="225" t="str">
        <f>VLOOKUP($AL14,変動費!$C$23:$J$27,6,0)</f>
        <v>←含む</v>
      </c>
      <c r="AI15" s="221"/>
      <c r="AJ15" s="221"/>
      <c r="AM15" s="214"/>
      <c r="AX15" s="86" t="s">
        <v>53</v>
      </c>
      <c r="AY15" s="371">
        <f>$P$27</f>
        <v>2</v>
      </c>
      <c r="AZ15" s="86" t="s">
        <v>586</v>
      </c>
    </row>
    <row r="16" spans="2:52" ht="15" outlineLevel="1" thickTop="1" x14ac:dyDescent="0.25">
      <c r="B16" s="213"/>
      <c r="C16" s="86" t="s">
        <v>40</v>
      </c>
      <c r="D16" s="86" t="s">
        <v>0</v>
      </c>
      <c r="E16" s="86" t="s">
        <v>43</v>
      </c>
      <c r="G16" s="141"/>
      <c r="H16" s="86" t="s">
        <v>41</v>
      </c>
      <c r="I16" s="86" t="s">
        <v>0</v>
      </c>
      <c r="J16" s="86" t="s">
        <v>43</v>
      </c>
      <c r="L16" s="214"/>
      <c r="M16" s="213"/>
      <c r="N16" s="270" t="s">
        <v>276</v>
      </c>
      <c r="O16" s="271" t="s">
        <v>63</v>
      </c>
      <c r="P16" s="272" t="s">
        <v>56</v>
      </c>
      <c r="Q16" s="272" t="s">
        <v>56</v>
      </c>
      <c r="R16" s="272" t="s">
        <v>56</v>
      </c>
      <c r="S16" s="273" t="s">
        <v>56</v>
      </c>
      <c r="T16" s="214"/>
      <c r="U16" s="213"/>
      <c r="V16" s="201" t="s">
        <v>560</v>
      </c>
      <c r="W16" s="138">
        <f>$D$22</f>
        <v>65</v>
      </c>
      <c r="X16" s="86"/>
      <c r="Y16" s="222">
        <v>7</v>
      </c>
      <c r="Z16" s="152">
        <f>Y16*12</f>
        <v>84</v>
      </c>
      <c r="AA16" s="214"/>
      <c r="AB16" s="213"/>
      <c r="AC16" s="138" t="s">
        <v>550</v>
      </c>
      <c r="AD16" s="119">
        <v>0.1</v>
      </c>
      <c r="AE16" s="223">
        <f>SUM(AD14:AH14)-(SUM(AD11:AH11)*AL11+SUM(AD12:AH12)*AL12+SUM(AD13:AH13)*AL13)</f>
        <v>1.3400000000000034</v>
      </c>
      <c r="AF16" t="s">
        <v>556</v>
      </c>
      <c r="AL16" s="141"/>
      <c r="AM16" s="214"/>
    </row>
    <row r="17" spans="2:52" outlineLevel="1" x14ac:dyDescent="0.25">
      <c r="B17" s="213"/>
      <c r="C17" s="86" t="s">
        <v>45</v>
      </c>
      <c r="D17" s="93">
        <v>24</v>
      </c>
      <c r="E17" s="204">
        <f>VLOOKUP(D17,賃金カーブ!$R:$Z,3,0)</f>
        <v>369.7506557197238</v>
      </c>
      <c r="G17" s="141"/>
      <c r="H17" s="86" t="s">
        <v>45</v>
      </c>
      <c r="I17" s="93">
        <v>22</v>
      </c>
      <c r="J17" s="203">
        <f>VLOOKUP(I17,賃金カーブ!$R:$Z,4,0)</f>
        <v>83.083478776400653</v>
      </c>
      <c r="L17" s="214"/>
      <c r="M17" s="213"/>
      <c r="N17" s="274" t="s">
        <v>277</v>
      </c>
      <c r="O17" s="102" t="s">
        <v>170</v>
      </c>
      <c r="P17" s="101"/>
      <c r="Q17" s="101"/>
      <c r="R17" s="101"/>
      <c r="S17" s="275"/>
      <c r="T17" s="214"/>
      <c r="U17" s="213"/>
      <c r="Z17" s="141"/>
      <c r="AA17" s="214"/>
      <c r="AB17" s="213"/>
      <c r="AD17" s="257" t="s">
        <v>508</v>
      </c>
      <c r="AK17" s="141"/>
      <c r="AL17" s="141"/>
      <c r="AM17" s="214"/>
      <c r="AT17" t="s">
        <v>608</v>
      </c>
    </row>
    <row r="18" spans="2:52" ht="15" outlineLevel="1" thickBot="1" x14ac:dyDescent="0.3">
      <c r="B18" s="213"/>
      <c r="C18" s="86" t="s">
        <v>47</v>
      </c>
      <c r="D18" s="204">
        <f>ROUND(D17+(D$22-D$17)/5,0)</f>
        <v>32</v>
      </c>
      <c r="E18" s="204">
        <f>VLOOKUP(D18,賃金カーブ!$R:$Z,3,0)</f>
        <v>463.75741885756111</v>
      </c>
      <c r="G18" s="141"/>
      <c r="H18" s="86" t="s">
        <v>47</v>
      </c>
      <c r="I18" s="204">
        <f>ROUND(I17+(I$22-I$17)/5,0)</f>
        <v>31</v>
      </c>
      <c r="J18" s="203">
        <f>VLOOKUP(I18,賃金カーブ!$R:$Z,4,0)</f>
        <v>108.63094539100834</v>
      </c>
      <c r="L18" s="214"/>
      <c r="M18" s="213"/>
      <c r="N18" s="274" t="s">
        <v>420</v>
      </c>
      <c r="O18" s="268" t="s">
        <v>172</v>
      </c>
      <c r="P18" s="269">
        <v>1</v>
      </c>
      <c r="Q18" s="269">
        <v>1</v>
      </c>
      <c r="R18" s="269">
        <v>1</v>
      </c>
      <c r="S18" s="280">
        <v>1</v>
      </c>
      <c r="T18" s="214"/>
      <c r="U18" s="213"/>
      <c r="V18" s="141" t="s">
        <v>510</v>
      </c>
      <c r="W18" s="141"/>
      <c r="X18" s="141"/>
      <c r="Y18" s="141"/>
      <c r="Z18" s="141"/>
      <c r="AA18" s="214"/>
      <c r="AB18" s="213"/>
      <c r="AD18" s="257" t="s">
        <v>551</v>
      </c>
      <c r="AE18" s="141"/>
      <c r="AF18" s="141"/>
      <c r="AG18" s="141"/>
      <c r="AH18" s="141"/>
      <c r="AI18" s="141"/>
      <c r="AJ18" s="141"/>
      <c r="AK18" s="141"/>
      <c r="AL18" s="141"/>
      <c r="AM18" s="214"/>
      <c r="AT18" s="86" t="s">
        <v>612</v>
      </c>
      <c r="AU18" s="118">
        <f>$Y$12</f>
        <v>8</v>
      </c>
      <c r="AV18" s="86" t="s">
        <v>614</v>
      </c>
      <c r="AX18" t="s">
        <v>615</v>
      </c>
    </row>
    <row r="19" spans="2:52" ht="15.75" outlineLevel="1" thickTop="1" thickBot="1" x14ac:dyDescent="0.3">
      <c r="B19" s="213"/>
      <c r="C19" s="86" t="s">
        <v>46</v>
      </c>
      <c r="D19" s="204">
        <f t="shared" ref="D19:D21" si="5">ROUND(D18+(D$22-D$17)/5,0)</f>
        <v>40</v>
      </c>
      <c r="E19" s="204">
        <f>VLOOKUP(D19,賃金カーブ!$R:$Z,3,0)</f>
        <v>546.78046672428684</v>
      </c>
      <c r="G19" s="141"/>
      <c r="H19" s="86" t="s">
        <v>46</v>
      </c>
      <c r="I19" s="204">
        <f t="shared" ref="I19:I21" si="6">ROUND(I18+(I$22-I$17)/5,0)</f>
        <v>40</v>
      </c>
      <c r="J19" s="203">
        <f>VLOOKUP(I19,賃金カーブ!$R:$Z,4,0)</f>
        <v>131.22731201382882</v>
      </c>
      <c r="L19" s="214"/>
      <c r="M19" s="213"/>
      <c r="N19" s="270" t="s">
        <v>278</v>
      </c>
      <c r="O19" s="271" t="s">
        <v>52</v>
      </c>
      <c r="P19" s="272" t="s">
        <v>56</v>
      </c>
      <c r="Q19" s="272" t="s">
        <v>56</v>
      </c>
      <c r="R19" s="272" t="s">
        <v>56</v>
      </c>
      <c r="S19" s="273" t="s">
        <v>56</v>
      </c>
      <c r="T19" s="214"/>
      <c r="U19" s="213"/>
      <c r="V19" s="86" t="s">
        <v>164</v>
      </c>
      <c r="W19" s="120">
        <v>10</v>
      </c>
      <c r="X19" s="258" t="s">
        <v>368</v>
      </c>
      <c r="Y19" s="141"/>
      <c r="Z19" s="141"/>
      <c r="AA19" s="214"/>
      <c r="AB19" s="218"/>
      <c r="AC19" s="219" t="s">
        <v>353</v>
      </c>
      <c r="AD19" s="219"/>
      <c r="AE19" s="219"/>
      <c r="AF19" s="219"/>
      <c r="AG19" s="219"/>
      <c r="AH19" s="219"/>
      <c r="AI19" s="219"/>
      <c r="AJ19" s="219"/>
      <c r="AK19" s="219"/>
      <c r="AL19" s="219"/>
      <c r="AM19" s="220"/>
      <c r="AT19" s="86" t="s">
        <v>613</v>
      </c>
      <c r="AU19" s="118">
        <f>W26</f>
        <v>3500</v>
      </c>
      <c r="AV19" s="86" t="s">
        <v>586</v>
      </c>
      <c r="AX19" s="118" t="str">
        <f>$W$20</f>
        <v>マンション</v>
      </c>
    </row>
    <row r="20" spans="2:52" outlineLevel="1" x14ac:dyDescent="0.25">
      <c r="B20" s="213"/>
      <c r="C20" s="86" t="s">
        <v>48</v>
      </c>
      <c r="D20" s="204">
        <f t="shared" si="5"/>
        <v>48</v>
      </c>
      <c r="E20" s="204">
        <f>VLOOKUP(D20,賃金カーブ!$R:$Z,3,0)</f>
        <v>622.64384254416086</v>
      </c>
      <c r="G20" s="141"/>
      <c r="H20" s="86" t="s">
        <v>48</v>
      </c>
      <c r="I20" s="204">
        <f t="shared" si="6"/>
        <v>49</v>
      </c>
      <c r="J20" s="203">
        <f>VLOOKUP(I20,賃金カーブ!$R:$Z,4,0)</f>
        <v>151.90088371272969</v>
      </c>
      <c r="L20" s="214"/>
      <c r="M20" s="213"/>
      <c r="N20" s="274" t="s">
        <v>279</v>
      </c>
      <c r="O20" s="102" t="s">
        <v>170</v>
      </c>
      <c r="P20" s="101">
        <v>1</v>
      </c>
      <c r="Q20" s="101">
        <v>1</v>
      </c>
      <c r="R20" s="101">
        <v>1</v>
      </c>
      <c r="S20" s="275">
        <v>1</v>
      </c>
      <c r="T20" s="214"/>
      <c r="U20" s="213"/>
      <c r="V20" s="86" t="s">
        <v>211</v>
      </c>
      <c r="W20" s="139" t="s">
        <v>219</v>
      </c>
      <c r="X20" s="141"/>
      <c r="Y20" s="141"/>
      <c r="Z20" s="141"/>
      <c r="AA20" s="214"/>
      <c r="AB20" s="210"/>
      <c r="AC20" s="211"/>
      <c r="AD20" s="211"/>
      <c r="AE20" s="211"/>
      <c r="AF20" s="211"/>
      <c r="AG20" s="211"/>
      <c r="AH20" s="211"/>
      <c r="AI20" s="211"/>
      <c r="AJ20" s="211"/>
      <c r="AK20" s="211"/>
      <c r="AL20" s="211"/>
      <c r="AM20" s="212"/>
    </row>
    <row r="21" spans="2:52" ht="15" outlineLevel="1" thickBot="1" x14ac:dyDescent="0.3">
      <c r="B21" s="213"/>
      <c r="C21" s="86" t="s">
        <v>49</v>
      </c>
      <c r="D21" s="204">
        <f t="shared" si="5"/>
        <v>56</v>
      </c>
      <c r="E21" s="204">
        <f>VLOOKUP(D21,賃金カーブ!$R:$Z,3,0)</f>
        <v>587.69028717591129</v>
      </c>
      <c r="G21" s="141"/>
      <c r="H21" s="86" t="s">
        <v>49</v>
      </c>
      <c r="I21" s="204">
        <f t="shared" si="6"/>
        <v>58</v>
      </c>
      <c r="J21" s="203">
        <f>VLOOKUP(I21,賃金カーブ!$R:$Z,4,0)</f>
        <v>121.70301488610635</v>
      </c>
      <c r="L21" s="214"/>
      <c r="M21" s="213"/>
      <c r="N21" s="276" t="s">
        <v>280</v>
      </c>
      <c r="O21" s="277" t="s">
        <v>172</v>
      </c>
      <c r="P21" s="278"/>
      <c r="Q21" s="278"/>
      <c r="R21" s="278"/>
      <c r="S21" s="279"/>
      <c r="T21" s="214"/>
      <c r="U21" s="213"/>
      <c r="V21" s="86" t="s">
        <v>176</v>
      </c>
      <c r="W21" s="120">
        <v>75</v>
      </c>
      <c r="X21" s="141"/>
      <c r="Y21" s="141" t="s">
        <v>373</v>
      </c>
      <c r="Z21" s="141"/>
      <c r="AA21" s="214"/>
      <c r="AB21" s="213"/>
      <c r="AC21" s="141" t="s">
        <v>287</v>
      </c>
      <c r="AD21" s="93">
        <v>3</v>
      </c>
      <c r="AE21" s="141" t="s">
        <v>286</v>
      </c>
      <c r="AF21" s="141"/>
      <c r="AG21" s="141"/>
      <c r="AH21" s="141"/>
      <c r="AI21" s="141"/>
      <c r="AJ21" s="141"/>
      <c r="AK21" s="141"/>
      <c r="AL21" s="141"/>
      <c r="AM21" s="214"/>
      <c r="AT21" s="205" t="s">
        <v>609</v>
      </c>
    </row>
    <row r="22" spans="2:52" ht="15" outlineLevel="1" thickTop="1" x14ac:dyDescent="0.25">
      <c r="B22" s="213"/>
      <c r="C22" s="86" t="s">
        <v>44</v>
      </c>
      <c r="D22" s="93">
        <v>65</v>
      </c>
      <c r="E22" s="204">
        <f>VLOOKUP(D22,賃金カーブ!$R:$Z,3,0)</f>
        <v>437.55401901469321</v>
      </c>
      <c r="G22" s="141"/>
      <c r="H22" s="86" t="s">
        <v>44</v>
      </c>
      <c r="I22" s="93">
        <v>65</v>
      </c>
      <c r="J22" s="203">
        <f>VLOOKUP(I22,賃金カーブ!$R:$Z,4,0)</f>
        <v>105.01296456352635</v>
      </c>
      <c r="L22" s="214"/>
      <c r="M22" s="213"/>
      <c r="N22" s="270" t="s">
        <v>281</v>
      </c>
      <c r="O22" s="271" t="s">
        <v>64</v>
      </c>
      <c r="P22" s="272" t="s">
        <v>56</v>
      </c>
      <c r="Q22" s="272" t="s">
        <v>56</v>
      </c>
      <c r="R22" s="272" t="s">
        <v>56</v>
      </c>
      <c r="S22" s="273" t="s">
        <v>56</v>
      </c>
      <c r="T22" s="214"/>
      <c r="U22" s="213"/>
      <c r="V22" s="86" t="s">
        <v>221</v>
      </c>
      <c r="W22" s="110">
        <v>1.2</v>
      </c>
      <c r="X22" s="141" t="s">
        <v>597</v>
      </c>
      <c r="Y22" s="117">
        <f>W21*155/10000</f>
        <v>1.1625000000000001</v>
      </c>
      <c r="Z22" s="141"/>
      <c r="AA22" s="214"/>
      <c r="AB22" s="213"/>
      <c r="AM22" s="214"/>
      <c r="AT22" s="86" t="s">
        <v>253</v>
      </c>
      <c r="AU22" s="86">
        <f>COUNT(AE24:AF24)</f>
        <v>1</v>
      </c>
      <c r="AV22" s="86" t="s">
        <v>588</v>
      </c>
      <c r="AX22" s="86" t="s">
        <v>585</v>
      </c>
      <c r="AY22" s="86">
        <f>SUM(AE24:AF24)</f>
        <v>300</v>
      </c>
      <c r="AZ22" s="86" t="s">
        <v>586</v>
      </c>
    </row>
    <row r="23" spans="2:52" ht="15" outlineLevel="1" thickBot="1" x14ac:dyDescent="0.3">
      <c r="B23" s="213"/>
      <c r="L23" s="214"/>
      <c r="M23" s="213"/>
      <c r="N23" s="274" t="s">
        <v>279</v>
      </c>
      <c r="O23" s="102" t="s">
        <v>170</v>
      </c>
      <c r="P23" s="101"/>
      <c r="Q23" s="101"/>
      <c r="R23" s="101"/>
      <c r="S23" s="275"/>
      <c r="T23" s="214"/>
      <c r="U23" s="213"/>
      <c r="V23" s="86" t="s">
        <v>222</v>
      </c>
      <c r="W23" s="110">
        <v>1.5</v>
      </c>
      <c r="X23" s="141" t="s">
        <v>597</v>
      </c>
      <c r="Y23" s="117">
        <f>W21*200/10000</f>
        <v>1.5</v>
      </c>
      <c r="Z23" s="141"/>
      <c r="AA23" s="214"/>
      <c r="AB23" s="213"/>
      <c r="AC23" s="141" t="s">
        <v>212</v>
      </c>
      <c r="AD23" s="141" t="s">
        <v>213</v>
      </c>
      <c r="AE23" s="141" t="s">
        <v>166</v>
      </c>
      <c r="AF23" s="141" t="s">
        <v>167</v>
      </c>
      <c r="AG23" s="141" t="s">
        <v>285</v>
      </c>
      <c r="AH23" s="141" t="s">
        <v>245</v>
      </c>
      <c r="AI23" s="141" t="s">
        <v>244</v>
      </c>
      <c r="AJ23" s="141" t="s">
        <v>254</v>
      </c>
      <c r="AK23" s="141" t="s">
        <v>288</v>
      </c>
      <c r="AL23" s="141" t="s">
        <v>289</v>
      </c>
      <c r="AM23" s="214"/>
      <c r="AX23" s="86" t="s">
        <v>618</v>
      </c>
      <c r="AY23" s="371">
        <f>$AJ$24</f>
        <v>1</v>
      </c>
      <c r="AZ23" s="86" t="s">
        <v>586</v>
      </c>
    </row>
    <row r="24" spans="2:52" ht="15" outlineLevel="1" thickBot="1" x14ac:dyDescent="0.3">
      <c r="B24" s="213"/>
      <c r="C24" t="s">
        <v>489</v>
      </c>
      <c r="E24" s="317">
        <v>50</v>
      </c>
      <c r="F24" t="s">
        <v>490</v>
      </c>
      <c r="J24" s="317">
        <v>50</v>
      </c>
      <c r="K24" t="s">
        <v>490</v>
      </c>
      <c r="L24" s="214"/>
      <c r="M24" s="213"/>
      <c r="N24" s="276" t="s">
        <v>280</v>
      </c>
      <c r="O24" s="277" t="s">
        <v>172</v>
      </c>
      <c r="P24" s="278">
        <v>1</v>
      </c>
      <c r="Q24" s="278">
        <v>1</v>
      </c>
      <c r="R24" s="278">
        <v>1</v>
      </c>
      <c r="S24" s="279">
        <v>1</v>
      </c>
      <c r="T24" s="214"/>
      <c r="U24" s="213"/>
      <c r="V24" s="86" t="s">
        <v>223</v>
      </c>
      <c r="W24" s="262" t="s">
        <v>311</v>
      </c>
      <c r="X24" s="141"/>
      <c r="Y24" s="141"/>
      <c r="Z24" s="141"/>
      <c r="AA24" s="214"/>
      <c r="AB24" s="213"/>
      <c r="AC24" s="86">
        <f>$D$17</f>
        <v>24</v>
      </c>
      <c r="AD24" s="93">
        <v>65</v>
      </c>
      <c r="AE24" s="154">
        <v>300</v>
      </c>
      <c r="AF24" s="93"/>
      <c r="AG24" s="93">
        <v>7</v>
      </c>
      <c r="AH24" s="93">
        <v>10</v>
      </c>
      <c r="AI24" s="93">
        <f>SUM(AE24:AF24)*1.5%</f>
        <v>4.5</v>
      </c>
      <c r="AJ24" s="93">
        <v>1</v>
      </c>
      <c r="AK24" s="112">
        <f>MAX(SUM(AE24:AF24)*(1-$AG$24/7)*80%,0)</f>
        <v>0</v>
      </c>
      <c r="AL24" s="112">
        <f>AE24-AK24</f>
        <v>300</v>
      </c>
      <c r="AM24" s="214"/>
      <c r="AT24" s="205" t="s">
        <v>610</v>
      </c>
    </row>
    <row r="25" spans="2:52" ht="15.75" outlineLevel="1" thickTop="1" thickBot="1" x14ac:dyDescent="0.3">
      <c r="B25" s="213"/>
      <c r="C25" s="252"/>
      <c r="D25" s="264" t="s">
        <v>488</v>
      </c>
      <c r="E25" s="261">
        <v>0</v>
      </c>
      <c r="F25" s="252" t="s">
        <v>374</v>
      </c>
      <c r="G25" s="141"/>
      <c r="H25" s="252"/>
      <c r="I25" s="264" t="s">
        <v>377</v>
      </c>
      <c r="J25" s="261">
        <v>0</v>
      </c>
      <c r="K25" s="252" t="s">
        <v>374</v>
      </c>
      <c r="L25" s="214"/>
      <c r="M25" s="213"/>
      <c r="N25" s="270" t="s">
        <v>280</v>
      </c>
      <c r="O25" s="271" t="s">
        <v>53</v>
      </c>
      <c r="P25" s="272" t="s">
        <v>56</v>
      </c>
      <c r="Q25" s="272" t="s">
        <v>56</v>
      </c>
      <c r="R25" s="272" t="s">
        <v>56</v>
      </c>
      <c r="S25" s="273" t="s">
        <v>56</v>
      </c>
      <c r="T25" s="214"/>
      <c r="U25" s="213"/>
      <c r="V25" s="141"/>
      <c r="W25" s="141"/>
      <c r="X25" s="141"/>
      <c r="Y25" s="141"/>
      <c r="Z25" s="141"/>
      <c r="AA25" s="214"/>
      <c r="AB25" s="213"/>
      <c r="AC25" s="93">
        <v>66</v>
      </c>
      <c r="AD25" s="93">
        <v>90</v>
      </c>
      <c r="AE25" s="154">
        <v>250</v>
      </c>
      <c r="AF25" s="93"/>
      <c r="AG25" s="93">
        <v>7</v>
      </c>
      <c r="AH25" s="93">
        <v>10</v>
      </c>
      <c r="AI25" s="93">
        <f>SUM(AE25:AF25)*1.5%</f>
        <v>3.75</v>
      </c>
      <c r="AJ25" s="93">
        <v>1</v>
      </c>
      <c r="AK25" s="112">
        <f>MAX(SUM(AE25:AF25)*(1-$AG$24/7)*80%,0)</f>
        <v>0</v>
      </c>
      <c r="AL25" s="112">
        <f>AE25-AK25</f>
        <v>250</v>
      </c>
      <c r="AM25" s="214"/>
      <c r="AT25" s="86" t="s">
        <v>598</v>
      </c>
      <c r="AU25" s="371">
        <f>SUM(AK14)</f>
        <v>16.040000000000003</v>
      </c>
      <c r="AV25" s="86" t="s">
        <v>586</v>
      </c>
      <c r="AX25" s="86" t="s">
        <v>599</v>
      </c>
      <c r="AY25" s="371">
        <f>SUM($AD$14)/(1+$AD$16)</f>
        <v>8.1000000000000014</v>
      </c>
      <c r="AZ25" s="86" t="s">
        <v>586</v>
      </c>
    </row>
    <row r="26" spans="2:52" outlineLevel="1" x14ac:dyDescent="0.25">
      <c r="B26" s="213"/>
      <c r="L26" s="214"/>
      <c r="M26" s="213"/>
      <c r="N26" s="274" t="s">
        <v>282</v>
      </c>
      <c r="O26" s="102" t="s">
        <v>170</v>
      </c>
      <c r="P26" s="101"/>
      <c r="Q26" s="101"/>
      <c r="R26" s="101"/>
      <c r="S26" s="275"/>
      <c r="T26" s="214"/>
      <c r="U26" s="213"/>
      <c r="V26" s="86" t="s">
        <v>173</v>
      </c>
      <c r="W26" s="120">
        <v>3500</v>
      </c>
      <c r="X26" s="141"/>
      <c r="Y26" s="141"/>
      <c r="Z26" s="141"/>
      <c r="AA26" s="214"/>
      <c r="AB26" s="213"/>
      <c r="AC26" s="141"/>
      <c r="AD26" s="141"/>
      <c r="AE26" s="141"/>
      <c r="AF26" s="141"/>
      <c r="AG26" s="141"/>
      <c r="AH26" s="141"/>
      <c r="AI26" s="141"/>
      <c r="AJ26" s="141" t="s">
        <v>596</v>
      </c>
      <c r="AK26" s="141"/>
      <c r="AL26" s="141"/>
      <c r="AM26" s="214"/>
      <c r="AX26" s="86" t="s">
        <v>600</v>
      </c>
      <c r="AY26" s="371">
        <f>SUM($AE$14)/(1+$AD$16)</f>
        <v>3</v>
      </c>
      <c r="AZ26" s="86" t="s">
        <v>586</v>
      </c>
    </row>
    <row r="27" spans="2:52" ht="15" outlineLevel="1" thickBot="1" x14ac:dyDescent="0.3">
      <c r="B27" s="213"/>
      <c r="C27" s="141"/>
      <c r="D27" s="141"/>
      <c r="E27" s="141"/>
      <c r="F27" s="141"/>
      <c r="G27" s="141"/>
      <c r="H27" s="141"/>
      <c r="I27" s="141" t="s">
        <v>212</v>
      </c>
      <c r="J27" s="141" t="s">
        <v>213</v>
      </c>
      <c r="K27" s="141" t="s">
        <v>210</v>
      </c>
      <c r="L27" s="214"/>
      <c r="M27" s="213"/>
      <c r="N27" s="276"/>
      <c r="O27" s="277" t="s">
        <v>172</v>
      </c>
      <c r="P27" s="278">
        <v>2</v>
      </c>
      <c r="Q27" s="278">
        <v>2</v>
      </c>
      <c r="R27" s="278">
        <v>2</v>
      </c>
      <c r="S27" s="279">
        <v>2</v>
      </c>
      <c r="T27" s="214"/>
      <c r="U27" s="213"/>
      <c r="V27" s="86" t="s">
        <v>174</v>
      </c>
      <c r="W27" s="93">
        <v>0</v>
      </c>
      <c r="X27" s="141"/>
      <c r="Y27" s="141"/>
      <c r="Z27" s="141"/>
      <c r="AA27" s="214"/>
      <c r="AB27" s="213"/>
      <c r="AC27" t="s">
        <v>366</v>
      </c>
      <c r="AG27" t="s">
        <v>367</v>
      </c>
      <c r="AM27" s="214"/>
      <c r="AX27" s="86" t="s">
        <v>582</v>
      </c>
      <c r="AY27" s="371">
        <f>SUM($AF$14:$AH$14)/(1+$AD$16)</f>
        <v>2.2999999999999998</v>
      </c>
      <c r="AZ27" s="86" t="s">
        <v>586</v>
      </c>
    </row>
    <row r="28" spans="2:52" ht="15" outlineLevel="1" thickTop="1" x14ac:dyDescent="0.25">
      <c r="B28" s="213"/>
      <c r="C28" s="141"/>
      <c r="D28" s="86" t="s">
        <v>215</v>
      </c>
      <c r="E28" s="93"/>
      <c r="F28" s="141"/>
      <c r="G28" s="141"/>
      <c r="H28" s="86" t="s">
        <v>208</v>
      </c>
      <c r="I28" s="86">
        <v>0</v>
      </c>
      <c r="J28" s="93">
        <v>0</v>
      </c>
      <c r="K28" s="119">
        <v>0.3</v>
      </c>
      <c r="L28" s="214"/>
      <c r="M28" s="213"/>
      <c r="N28" s="270" t="s">
        <v>283</v>
      </c>
      <c r="O28" s="271" t="s">
        <v>54</v>
      </c>
      <c r="P28" s="272" t="s">
        <v>56</v>
      </c>
      <c r="Q28" s="272" t="s">
        <v>56</v>
      </c>
      <c r="R28" s="272" t="s">
        <v>56</v>
      </c>
      <c r="S28" s="273" t="s">
        <v>56</v>
      </c>
      <c r="T28" s="214"/>
      <c r="U28" s="213"/>
      <c r="V28" s="86" t="s">
        <v>155</v>
      </c>
      <c r="W28" s="138">
        <f>W26-W27</f>
        <v>3500</v>
      </c>
      <c r="X28" s="141"/>
      <c r="Y28" s="141"/>
      <c r="Z28" s="141"/>
      <c r="AA28" s="214"/>
      <c r="AB28" s="213"/>
      <c r="AC28" s="86" t="s">
        <v>322</v>
      </c>
      <c r="AD28" s="86" t="s">
        <v>355</v>
      </c>
      <c r="AE28" s="86" t="s">
        <v>285</v>
      </c>
      <c r="AF28" s="141"/>
      <c r="AG28" s="138" t="s">
        <v>322</v>
      </c>
      <c r="AH28" s="86" t="s">
        <v>355</v>
      </c>
      <c r="AI28" s="86" t="s">
        <v>285</v>
      </c>
      <c r="AJ28" s="141"/>
      <c r="AK28" s="141"/>
      <c r="AM28" s="214"/>
      <c r="AX28" s="86" t="s">
        <v>448</v>
      </c>
      <c r="AY28" s="371">
        <f>SUM($AI$14:$AJ$14)/(1+$AD$16)</f>
        <v>1.1818181818181819</v>
      </c>
      <c r="AZ28" s="86" t="s">
        <v>586</v>
      </c>
    </row>
    <row r="29" spans="2:52" outlineLevel="1" x14ac:dyDescent="0.25">
      <c r="B29" s="213"/>
      <c r="C29" s="141"/>
      <c r="D29" s="141"/>
      <c r="E29" s="141"/>
      <c r="F29" s="141"/>
      <c r="G29" s="141"/>
      <c r="H29" s="86" t="s">
        <v>209</v>
      </c>
      <c r="I29" s="86">
        <f>J28+1</f>
        <v>1</v>
      </c>
      <c r="J29" s="93">
        <v>5</v>
      </c>
      <c r="K29" s="119">
        <v>0.6</v>
      </c>
      <c r="L29" s="214"/>
      <c r="M29" s="213"/>
      <c r="N29" s="274" t="s">
        <v>279</v>
      </c>
      <c r="O29" s="102"/>
      <c r="P29" s="101"/>
      <c r="Q29" s="101"/>
      <c r="R29" s="101"/>
      <c r="S29" s="275"/>
      <c r="T29" s="214"/>
      <c r="U29" s="213"/>
      <c r="V29" s="86" t="s">
        <v>157</v>
      </c>
      <c r="W29" s="93">
        <v>35</v>
      </c>
      <c r="X29" s="141"/>
      <c r="Y29" s="141"/>
      <c r="Z29" s="141"/>
      <c r="AA29" s="214"/>
      <c r="AB29" s="213"/>
      <c r="AC29" s="93" t="s">
        <v>349</v>
      </c>
      <c r="AD29" s="154">
        <v>10</v>
      </c>
      <c r="AE29" s="93">
        <v>10</v>
      </c>
      <c r="AG29" s="93" t="s">
        <v>356</v>
      </c>
      <c r="AH29" s="154">
        <v>74</v>
      </c>
      <c r="AI29" s="93">
        <v>20</v>
      </c>
      <c r="AJ29" s="257" t="s">
        <v>363</v>
      </c>
      <c r="AM29" s="214"/>
      <c r="AX29" s="86" t="s">
        <v>601</v>
      </c>
      <c r="AY29" s="371">
        <f>AE16</f>
        <v>1.3400000000000034</v>
      </c>
      <c r="AZ29" s="86" t="s">
        <v>586</v>
      </c>
    </row>
    <row r="30" spans="2:52" ht="15" outlineLevel="1" thickBot="1" x14ac:dyDescent="0.3">
      <c r="B30" s="213"/>
      <c r="C30" s="141"/>
      <c r="D30" s="141"/>
      <c r="E30" s="141"/>
      <c r="F30" s="141"/>
      <c r="G30" s="141"/>
      <c r="H30" s="141"/>
      <c r="I30" s="141"/>
      <c r="J30" s="141"/>
      <c r="K30" s="141"/>
      <c r="L30" s="214"/>
      <c r="M30" s="213"/>
      <c r="N30" s="276"/>
      <c r="O30" s="277" t="s">
        <v>428</v>
      </c>
      <c r="P30" s="278"/>
      <c r="Q30" s="278">
        <v>6</v>
      </c>
      <c r="R30" s="278">
        <v>5</v>
      </c>
      <c r="S30" s="279">
        <v>5</v>
      </c>
      <c r="T30" s="214"/>
      <c r="U30" s="213"/>
      <c r="V30" s="86" t="s">
        <v>156</v>
      </c>
      <c r="W30" s="323">
        <v>0.01</v>
      </c>
      <c r="X30" s="141"/>
      <c r="Y30" s="141"/>
      <c r="Z30" s="141"/>
      <c r="AA30" s="214"/>
      <c r="AB30" s="213"/>
      <c r="AC30" s="93" t="s">
        <v>350</v>
      </c>
      <c r="AD30" s="154">
        <f>10+7+7</f>
        <v>24</v>
      </c>
      <c r="AE30" s="93">
        <v>10</v>
      </c>
      <c r="AG30" s="93" t="s">
        <v>357</v>
      </c>
      <c r="AH30" s="154">
        <v>131</v>
      </c>
      <c r="AI30" s="93">
        <v>30</v>
      </c>
      <c r="AJ30" s="257" t="s">
        <v>364</v>
      </c>
      <c r="AM30" s="214"/>
      <c r="AT30" t="s">
        <v>611</v>
      </c>
    </row>
    <row r="31" spans="2:52" ht="15" outlineLevel="1" thickTop="1" x14ac:dyDescent="0.25">
      <c r="B31" s="213"/>
      <c r="C31" s="141"/>
      <c r="D31" s="86" t="s">
        <v>220</v>
      </c>
      <c r="E31" s="93"/>
      <c r="F31" s="141"/>
      <c r="G31" s="141"/>
      <c r="H31" s="141"/>
      <c r="I31" s="86" t="s">
        <v>220</v>
      </c>
      <c r="J31" s="93">
        <v>0</v>
      </c>
      <c r="K31" s="141"/>
      <c r="L31" s="214"/>
      <c r="M31" s="213"/>
      <c r="N31" s="270" t="s">
        <v>283</v>
      </c>
      <c r="O31" s="271" t="s">
        <v>67</v>
      </c>
      <c r="P31" s="272"/>
      <c r="Q31" s="272" t="s">
        <v>56</v>
      </c>
      <c r="R31" s="272" t="s">
        <v>56</v>
      </c>
      <c r="S31" s="273" t="s">
        <v>56</v>
      </c>
      <c r="T31" s="214"/>
      <c r="U31" s="213"/>
      <c r="V31" s="86" t="s">
        <v>161</v>
      </c>
      <c r="W31" s="118">
        <f>W32-W28</f>
        <v>649.5997743697435</v>
      </c>
      <c r="X31" s="141"/>
      <c r="Y31" s="141"/>
      <c r="Z31" s="141"/>
      <c r="AA31" s="214"/>
      <c r="AB31" s="213"/>
      <c r="AC31" s="93" t="s">
        <v>351</v>
      </c>
      <c r="AD31" s="154">
        <v>20</v>
      </c>
      <c r="AE31" s="93">
        <v>10</v>
      </c>
      <c r="AG31" s="93" t="s">
        <v>358</v>
      </c>
      <c r="AH31" s="154">
        <v>49</v>
      </c>
      <c r="AI31" s="93">
        <v>20</v>
      </c>
      <c r="AJ31" s="257" t="s">
        <v>365</v>
      </c>
      <c r="AM31" s="214"/>
      <c r="AT31" s="86" t="s">
        <v>162</v>
      </c>
      <c r="AU31" s="371">
        <f>AY31+AY32+AY33*2</f>
        <v>5</v>
      </c>
      <c r="AV31" s="86" t="s">
        <v>586</v>
      </c>
      <c r="AX31" s="86" t="s">
        <v>40</v>
      </c>
      <c r="AY31" s="371">
        <f>$D$38</f>
        <v>3</v>
      </c>
      <c r="AZ31" s="86" t="s">
        <v>586</v>
      </c>
    </row>
    <row r="32" spans="2:52" outlineLevel="1" x14ac:dyDescent="0.25">
      <c r="B32" s="213"/>
      <c r="C32" s="141"/>
      <c r="D32" s="141"/>
      <c r="E32" s="141"/>
      <c r="F32" s="141"/>
      <c r="G32" s="141"/>
      <c r="H32" s="141"/>
      <c r="I32" s="141"/>
      <c r="J32" s="141"/>
      <c r="K32" s="141"/>
      <c r="L32" s="214"/>
      <c r="M32" s="213"/>
      <c r="N32" s="274" t="s">
        <v>426</v>
      </c>
      <c r="O32" s="102"/>
      <c r="P32" s="101"/>
      <c r="Q32" s="101"/>
      <c r="R32" s="101"/>
      <c r="S32" s="275"/>
      <c r="T32" s="214"/>
      <c r="U32" s="213"/>
      <c r="V32" s="86" t="s">
        <v>158</v>
      </c>
      <c r="W32" s="112">
        <f>W34*W29*12</f>
        <v>4149.5997743697435</v>
      </c>
      <c r="X32" s="141"/>
      <c r="Y32" s="141"/>
      <c r="Z32" s="141"/>
      <c r="AA32" s="214"/>
      <c r="AB32" s="213"/>
      <c r="AC32" s="93" t="s">
        <v>361</v>
      </c>
      <c r="AD32" s="154">
        <v>3</v>
      </c>
      <c r="AE32" s="93">
        <v>5</v>
      </c>
      <c r="AG32" s="93" t="s">
        <v>359</v>
      </c>
      <c r="AH32" s="154">
        <v>107</v>
      </c>
      <c r="AI32" s="93">
        <v>30</v>
      </c>
      <c r="AM32" s="214"/>
      <c r="AX32" s="86" t="s">
        <v>41</v>
      </c>
      <c r="AY32" s="371">
        <f>$I$38</f>
        <v>1</v>
      </c>
      <c r="AZ32" s="86" t="s">
        <v>586</v>
      </c>
    </row>
    <row r="33" spans="2:111" ht="15" outlineLevel="1" thickBot="1" x14ac:dyDescent="0.3">
      <c r="B33" s="213"/>
      <c r="C33" s="141" t="s">
        <v>42</v>
      </c>
      <c r="D33" s="141" t="s">
        <v>86</v>
      </c>
      <c r="E33" s="141"/>
      <c r="F33" s="141"/>
      <c r="G33" s="141"/>
      <c r="H33" s="141" t="s">
        <v>42</v>
      </c>
      <c r="I33" s="141" t="s">
        <v>86</v>
      </c>
      <c r="J33" s="141"/>
      <c r="K33" s="141"/>
      <c r="L33" s="214"/>
      <c r="M33" s="213"/>
      <c r="N33" s="276" t="s">
        <v>427</v>
      </c>
      <c r="O33" s="277" t="s">
        <v>428</v>
      </c>
      <c r="P33" s="278"/>
      <c r="Q33" s="278">
        <v>6</v>
      </c>
      <c r="R33" s="278">
        <v>5</v>
      </c>
      <c r="S33" s="279">
        <v>5</v>
      </c>
      <c r="T33" s="214"/>
      <c r="U33" s="213"/>
      <c r="V33" s="141"/>
      <c r="W33" s="141"/>
      <c r="X33" s="141"/>
      <c r="Y33" s="141"/>
      <c r="Z33" s="141"/>
      <c r="AA33" s="214"/>
      <c r="AB33" s="213"/>
      <c r="AC33" s="93" t="s">
        <v>360</v>
      </c>
      <c r="AD33" s="154"/>
      <c r="AE33" s="93"/>
      <c r="AF33" s="141"/>
      <c r="AG33" s="93" t="s">
        <v>352</v>
      </c>
      <c r="AH33" s="93">
        <v>51</v>
      </c>
      <c r="AI33" s="93">
        <v>20</v>
      </c>
      <c r="AJ33" s="257" t="s">
        <v>478</v>
      </c>
      <c r="AM33" s="214"/>
      <c r="AX33" s="86" t="s">
        <v>604</v>
      </c>
      <c r="AY33" s="371">
        <f>P35</f>
        <v>0.5</v>
      </c>
      <c r="AZ33" s="86" t="s">
        <v>586</v>
      </c>
    </row>
    <row r="34" spans="2:111" ht="15" outlineLevel="1" thickTop="1" x14ac:dyDescent="0.25">
      <c r="B34" s="213"/>
      <c r="C34" s="141" t="s">
        <v>73</v>
      </c>
      <c r="D34" s="93">
        <v>1</v>
      </c>
      <c r="E34" s="141"/>
      <c r="F34" s="141"/>
      <c r="G34" s="141"/>
      <c r="H34" s="141" t="s">
        <v>73</v>
      </c>
      <c r="I34" s="110">
        <v>0</v>
      </c>
      <c r="J34" s="141"/>
      <c r="K34" s="141"/>
      <c r="L34" s="214"/>
      <c r="M34" s="213"/>
      <c r="N34" s="141"/>
      <c r="O34" s="141"/>
      <c r="P34" s="141"/>
      <c r="Q34" s="141"/>
      <c r="R34" s="141"/>
      <c r="S34" s="141"/>
      <c r="T34" s="214"/>
      <c r="U34" s="213"/>
      <c r="V34" s="86" t="s">
        <v>159</v>
      </c>
      <c r="W34" s="117">
        <f>W28*(W30/12)*(1+W30/12)^(W29*12)/((1+W30/12)^(W29*12)-1)</f>
        <v>9.8799994627851042</v>
      </c>
      <c r="X34" s="221"/>
      <c r="Y34" s="221"/>
      <c r="Z34" s="141"/>
      <c r="AA34" s="214"/>
      <c r="AB34" s="213"/>
      <c r="AC34" s="93" t="s">
        <v>360</v>
      </c>
      <c r="AD34" s="154"/>
      <c r="AE34" s="93"/>
      <c r="AF34" s="141"/>
      <c r="AG34" s="93" t="s">
        <v>191</v>
      </c>
      <c r="AH34" s="93">
        <v>30</v>
      </c>
      <c r="AI34" s="93">
        <v>20</v>
      </c>
      <c r="AJ34" s="141"/>
      <c r="AK34" s="141"/>
      <c r="AM34" s="214"/>
    </row>
    <row r="35" spans="2:111" outlineLevel="1" x14ac:dyDescent="0.25">
      <c r="B35" s="213"/>
      <c r="C35" s="141" t="s">
        <v>74</v>
      </c>
      <c r="D35" s="93">
        <v>1</v>
      </c>
      <c r="E35" s="141"/>
      <c r="F35" s="141"/>
      <c r="G35" s="141"/>
      <c r="H35" s="141" t="s">
        <v>74</v>
      </c>
      <c r="I35" s="110">
        <v>0</v>
      </c>
      <c r="J35" s="141"/>
      <c r="K35" s="141"/>
      <c r="L35" s="214"/>
      <c r="M35" s="213"/>
      <c r="N35" s="141"/>
      <c r="O35" s="138" t="s">
        <v>375</v>
      </c>
      <c r="P35" s="93">
        <v>0.5</v>
      </c>
      <c r="Q35" s="86">
        <f>P35</f>
        <v>0.5</v>
      </c>
      <c r="R35" s="86">
        <f t="shared" ref="R35:S35" si="7">Q35</f>
        <v>0.5</v>
      </c>
      <c r="S35" s="86">
        <f t="shared" si="7"/>
        <v>0.5</v>
      </c>
      <c r="T35" s="214"/>
      <c r="U35" s="213"/>
      <c r="V35" s="86" t="s">
        <v>160</v>
      </c>
      <c r="W35" s="117">
        <f>W34*12</f>
        <v>118.55999355342125</v>
      </c>
      <c r="X35" s="221"/>
      <c r="Y35" s="221"/>
      <c r="Z35" s="141"/>
      <c r="AA35" s="214"/>
      <c r="AB35" s="213"/>
      <c r="AC35" s="93" t="s">
        <v>360</v>
      </c>
      <c r="AD35" s="154"/>
      <c r="AE35" s="93"/>
      <c r="AF35" s="141"/>
      <c r="AG35" s="93" t="s">
        <v>193</v>
      </c>
      <c r="AH35" s="93">
        <v>65</v>
      </c>
      <c r="AI35" s="93">
        <v>20</v>
      </c>
      <c r="AJ35" s="141"/>
      <c r="AK35" s="141"/>
      <c r="AM35" s="214"/>
      <c r="AY35" t="s">
        <v>590</v>
      </c>
    </row>
    <row r="36" spans="2:111" outlineLevel="1" x14ac:dyDescent="0.25">
      <c r="B36" s="213"/>
      <c r="J36" s="141"/>
      <c r="K36" s="141"/>
      <c r="L36" s="214"/>
      <c r="M36" s="213"/>
      <c r="N36" s="141"/>
      <c r="O36" s="138" t="s">
        <v>348</v>
      </c>
      <c r="P36" s="93">
        <v>18</v>
      </c>
      <c r="Q36" s="86">
        <f>P36</f>
        <v>18</v>
      </c>
      <c r="R36" s="86">
        <f t="shared" ref="R36" si="8">Q36</f>
        <v>18</v>
      </c>
      <c r="S36" s="86">
        <f t="shared" ref="S36" si="9">R36</f>
        <v>18</v>
      </c>
      <c r="T36" s="214"/>
      <c r="U36" s="213"/>
      <c r="V36" s="141"/>
      <c r="W36" s="221"/>
      <c r="X36" s="221"/>
      <c r="Y36" s="221"/>
      <c r="Z36" s="141"/>
      <c r="AA36" s="214"/>
      <c r="AB36" s="213"/>
      <c r="AC36" s="93" t="s">
        <v>360</v>
      </c>
      <c r="AD36" s="154"/>
      <c r="AE36" s="93"/>
      <c r="AF36" s="141"/>
      <c r="AG36" s="93" t="s">
        <v>354</v>
      </c>
      <c r="AH36" s="93">
        <v>47</v>
      </c>
      <c r="AI36" s="93">
        <v>20</v>
      </c>
      <c r="AJ36" s="141"/>
      <c r="AK36" s="141"/>
      <c r="AM36" s="214"/>
      <c r="AX36" s="86" t="s">
        <v>589</v>
      </c>
      <c r="AY36" s="112">
        <f>VLOOKUP(D22,サマリ!C:AM,37,0)-E31</f>
        <v>86.542645836138036</v>
      </c>
      <c r="AZ36" s="86" t="s">
        <v>586</v>
      </c>
    </row>
    <row r="37" spans="2:111" outlineLevel="1" x14ac:dyDescent="0.25">
      <c r="B37" s="213"/>
      <c r="C37" s="205"/>
      <c r="D37" s="141" t="s">
        <v>86</v>
      </c>
      <c r="I37" s="141" t="s">
        <v>86</v>
      </c>
      <c r="K37" s="141"/>
      <c r="L37" s="214"/>
      <c r="M37" s="213"/>
      <c r="N37" s="141"/>
      <c r="T37" s="214"/>
      <c r="U37" s="213"/>
      <c r="V37" s="141"/>
      <c r="W37" s="221"/>
      <c r="X37" s="221"/>
      <c r="Y37" s="221"/>
      <c r="Z37" s="141"/>
      <c r="AA37" s="214"/>
      <c r="AB37" s="213"/>
      <c r="AC37" s="141"/>
      <c r="AD37" s="141"/>
      <c r="AE37" s="141"/>
      <c r="AF37" s="141"/>
      <c r="AG37" s="93" t="s">
        <v>185</v>
      </c>
      <c r="AH37" s="93"/>
      <c r="AI37" s="93"/>
      <c r="AJ37" s="141"/>
      <c r="AK37" s="141"/>
      <c r="AM37" s="214"/>
      <c r="AX37" s="205" t="s">
        <v>592</v>
      </c>
      <c r="AZ37" s="205"/>
    </row>
    <row r="38" spans="2:111" outlineLevel="1" x14ac:dyDescent="0.25">
      <c r="B38" s="213"/>
      <c r="C38" s="86" t="s">
        <v>299</v>
      </c>
      <c r="D38" s="93">
        <v>3</v>
      </c>
      <c r="H38" s="86" t="s">
        <v>299</v>
      </c>
      <c r="I38" s="93">
        <v>1</v>
      </c>
      <c r="K38" s="141"/>
      <c r="L38" s="214"/>
      <c r="M38" s="213"/>
      <c r="N38" s="201"/>
      <c r="O38" s="263" t="s">
        <v>376</v>
      </c>
      <c r="P38" s="138">
        <f>IF(P30,18,22)</f>
        <v>22</v>
      </c>
      <c r="Q38" s="86">
        <f>IF(Q30,18,22)</f>
        <v>18</v>
      </c>
      <c r="R38" s="86">
        <f>IF(R30,18,22)</f>
        <v>18</v>
      </c>
      <c r="S38" s="86">
        <f>IF(S30,18,22)</f>
        <v>18</v>
      </c>
      <c r="T38" s="214"/>
      <c r="U38" s="213"/>
      <c r="V38" s="141"/>
      <c r="W38" s="221"/>
      <c r="X38" s="221"/>
      <c r="Y38" s="221"/>
      <c r="Z38" s="141"/>
      <c r="AA38" s="214"/>
      <c r="AB38" s="213"/>
      <c r="AC38" s="141"/>
      <c r="AD38" s="141"/>
      <c r="AE38" s="141"/>
      <c r="AF38" s="141"/>
      <c r="AG38" s="93" t="s">
        <v>199</v>
      </c>
      <c r="AH38" s="93"/>
      <c r="AI38" s="93"/>
      <c r="AJ38" s="141"/>
      <c r="AK38" s="141"/>
      <c r="AM38" s="214"/>
      <c r="AX38" s="86" t="str">
        <f>INDEX(サマリ!C:C,MATCH(AY38,サマリ!AM:AM,0))&amp;"歳の時に"</f>
        <v>76歳の時に</v>
      </c>
      <c r="AY38" s="112">
        <f>MIN(サマリ!AM:AM)</f>
        <v>-615.64227874952849</v>
      </c>
      <c r="AZ38" s="86" t="s">
        <v>586</v>
      </c>
    </row>
    <row r="39" spans="2:111" outlineLevel="1" x14ac:dyDescent="0.25">
      <c r="B39" s="213"/>
      <c r="K39" s="141"/>
      <c r="L39" s="214"/>
      <c r="M39" s="213"/>
      <c r="N39" s="141"/>
      <c r="O39" s="141"/>
      <c r="P39" t="s">
        <v>433</v>
      </c>
      <c r="T39" s="214"/>
      <c r="U39" s="213"/>
      <c r="V39" s="141"/>
      <c r="W39" s="221"/>
      <c r="X39" s="221"/>
      <c r="Y39" s="221"/>
      <c r="Z39" s="141"/>
      <c r="AA39" s="214"/>
      <c r="AB39" s="213"/>
      <c r="AC39" s="141"/>
      <c r="AD39" s="141"/>
      <c r="AE39" s="141"/>
      <c r="AF39" s="141"/>
      <c r="AG39" s="141"/>
      <c r="AH39" s="141"/>
      <c r="AI39" s="141"/>
      <c r="AJ39" s="141"/>
      <c r="AK39" s="141"/>
      <c r="AL39" s="141"/>
      <c r="AM39" s="214"/>
      <c r="DG39"/>
    </row>
    <row r="40" spans="2:111" ht="15" outlineLevel="1" thickBot="1" x14ac:dyDescent="0.3">
      <c r="B40" s="213"/>
      <c r="C40" s="141"/>
      <c r="D40" s="141"/>
      <c r="E40" s="141"/>
      <c r="F40" s="141"/>
      <c r="G40" s="141"/>
      <c r="H40" s="141"/>
      <c r="I40" s="141"/>
      <c r="J40" s="141"/>
      <c r="K40" s="141"/>
      <c r="L40" s="214"/>
      <c r="M40" s="213"/>
      <c r="N40" s="141"/>
      <c r="O40" s="141"/>
      <c r="T40" s="214"/>
      <c r="U40" s="213"/>
      <c r="V40" s="141"/>
      <c r="W40" s="221"/>
      <c r="X40" s="221"/>
      <c r="Y40" s="221"/>
      <c r="Z40" s="141"/>
      <c r="AA40" s="214"/>
      <c r="AB40" s="215"/>
      <c r="AC40" s="216"/>
      <c r="AD40" s="216"/>
      <c r="AE40" s="216"/>
      <c r="AF40" s="216"/>
      <c r="AG40" s="216"/>
      <c r="AH40" s="216"/>
      <c r="AI40" s="216"/>
      <c r="AJ40" s="216"/>
      <c r="AK40" s="216"/>
      <c r="AL40" s="216"/>
      <c r="AM40" s="217"/>
      <c r="DG40"/>
    </row>
    <row r="41" spans="2:111" ht="15" thickBot="1" x14ac:dyDescent="0.3">
      <c r="B41" s="247"/>
      <c r="C41" s="245" t="s">
        <v>309</v>
      </c>
      <c r="D41" s="245"/>
      <c r="E41" s="245"/>
      <c r="F41" s="245"/>
      <c r="G41" s="245"/>
      <c r="H41" s="245"/>
      <c r="I41" s="245"/>
      <c r="J41" s="245"/>
      <c r="K41" s="245"/>
      <c r="L41" s="246"/>
      <c r="M41" s="247"/>
      <c r="N41" s="245"/>
      <c r="O41" s="245"/>
      <c r="P41" s="245"/>
      <c r="Q41" s="245"/>
      <c r="R41" s="245"/>
      <c r="S41" s="245"/>
      <c r="T41" s="246"/>
      <c r="U41" s="247"/>
      <c r="V41" s="245"/>
      <c r="W41" s="248"/>
      <c r="X41" s="248"/>
      <c r="Y41" s="248"/>
      <c r="Z41" s="245"/>
      <c r="AA41" s="246"/>
      <c r="AB41" s="247"/>
      <c r="AC41" s="245"/>
      <c r="AD41" s="245"/>
      <c r="AE41" s="245"/>
      <c r="AF41" s="245"/>
      <c r="AG41" s="245"/>
      <c r="AH41" s="245"/>
      <c r="AI41" s="245"/>
      <c r="AJ41" s="245"/>
      <c r="AK41" s="245"/>
      <c r="AL41" s="245"/>
      <c r="AM41" s="246"/>
      <c r="DG41"/>
    </row>
    <row r="42" spans="2:111" outlineLevel="1" x14ac:dyDescent="0.25">
      <c r="B42" s="251"/>
      <c r="C42" s="249"/>
      <c r="D42" s="249"/>
      <c r="E42" s="249"/>
      <c r="F42" s="249"/>
      <c r="G42" s="249"/>
      <c r="H42" s="249"/>
      <c r="I42" s="249"/>
      <c r="J42" s="249"/>
      <c r="K42" s="249"/>
      <c r="L42" s="250"/>
      <c r="M42" s="352" t="s">
        <v>557</v>
      </c>
      <c r="N42" s="249"/>
      <c r="O42" s="249"/>
      <c r="P42" s="249"/>
      <c r="Q42" s="249"/>
      <c r="R42" s="249"/>
      <c r="S42" s="249"/>
      <c r="T42" s="250"/>
      <c r="U42" s="249"/>
      <c r="V42" s="354" t="s">
        <v>558</v>
      </c>
      <c r="W42" s="249"/>
      <c r="X42" s="249"/>
      <c r="Y42" s="354" t="s">
        <v>572</v>
      </c>
      <c r="Z42" s="249"/>
      <c r="AA42" s="249"/>
      <c r="AB42" s="249"/>
      <c r="AC42" s="249"/>
      <c r="AD42" s="353" t="s">
        <v>573</v>
      </c>
      <c r="AE42" s="252"/>
      <c r="AF42" s="249"/>
      <c r="AG42" s="249"/>
      <c r="AH42" s="249"/>
      <c r="AI42" s="249"/>
      <c r="AJ42" s="249"/>
      <c r="AK42" s="249"/>
      <c r="AL42" s="249"/>
      <c r="AM42" s="250"/>
      <c r="AT42" s="1"/>
      <c r="AU42" s="1"/>
      <c r="AV42" s="1"/>
      <c r="AW42" s="1"/>
      <c r="AX42" s="1"/>
      <c r="AY42" s="1"/>
      <c r="BA42" t="s">
        <v>302</v>
      </c>
      <c r="BD42" s="312" t="s">
        <v>553</v>
      </c>
      <c r="BK42" s="313" t="s">
        <v>486</v>
      </c>
      <c r="BT42" s="1" t="s">
        <v>485</v>
      </c>
      <c r="DG42"/>
    </row>
    <row r="43" spans="2:111" outlineLevel="1" x14ac:dyDescent="0.25">
      <c r="B43" s="251"/>
      <c r="C43" s="249"/>
      <c r="D43" s="249"/>
      <c r="E43" s="249"/>
      <c r="F43" s="249"/>
      <c r="G43" s="249"/>
      <c r="H43" s="249"/>
      <c r="I43" s="249"/>
      <c r="J43" s="249"/>
      <c r="K43" s="249"/>
      <c r="L43" s="250"/>
      <c r="M43" s="251"/>
      <c r="N43" s="249"/>
      <c r="O43" s="249"/>
      <c r="P43" s="249"/>
      <c r="Q43" s="249"/>
      <c r="R43" s="249"/>
      <c r="S43" s="249"/>
      <c r="T43" s="250"/>
      <c r="U43" s="249"/>
      <c r="V43" s="249"/>
      <c r="W43" s="249"/>
      <c r="X43" s="249"/>
      <c r="Y43" s="249"/>
      <c r="Z43" s="249"/>
      <c r="AA43" s="249"/>
      <c r="AB43" s="249"/>
      <c r="AC43" s="249"/>
      <c r="AD43" s="249"/>
      <c r="AE43" s="249"/>
      <c r="AF43" s="249"/>
      <c r="AG43" s="249"/>
      <c r="AH43" s="249"/>
      <c r="AI43" s="249"/>
      <c r="AJ43" s="249"/>
      <c r="AK43" s="249"/>
      <c r="AL43" s="249"/>
      <c r="AM43" s="250"/>
      <c r="AQ43" s="93"/>
      <c r="AS43" s="86" t="s">
        <v>309</v>
      </c>
      <c r="AT43" s="86" t="s">
        <v>307</v>
      </c>
      <c r="AU43" s="86" t="s">
        <v>290</v>
      </c>
      <c r="AV43" s="86" t="s">
        <v>291</v>
      </c>
      <c r="AW43" s="86" t="s">
        <v>295</v>
      </c>
      <c r="AX43" s="86" t="s">
        <v>296</v>
      </c>
      <c r="AY43" s="86" t="s">
        <v>292</v>
      </c>
      <c r="BA43" s="19" t="s">
        <v>304</v>
      </c>
      <c r="BB43" s="199">
        <v>0.05</v>
      </c>
      <c r="BD43" s="299" t="s">
        <v>446</v>
      </c>
      <c r="BE43" s="302"/>
      <c r="BF43" s="300"/>
      <c r="BG43" s="303" t="s">
        <v>441</v>
      </c>
      <c r="BH43" s="303" t="s">
        <v>442</v>
      </c>
      <c r="BI43" s="303" t="s">
        <v>435</v>
      </c>
      <c r="BK43" s="299" t="s">
        <v>446</v>
      </c>
      <c r="BL43" s="300"/>
      <c r="BM43" s="303" t="s">
        <v>435</v>
      </c>
      <c r="BN43" s="303" t="s">
        <v>441</v>
      </c>
      <c r="BO43" s="303" t="s">
        <v>442</v>
      </c>
      <c r="BQ43" s="299" t="s">
        <v>446</v>
      </c>
      <c r="BR43" s="302"/>
      <c r="BS43" s="300"/>
      <c r="BT43" s="303" t="s">
        <v>441</v>
      </c>
      <c r="BU43" s="303" t="s">
        <v>442</v>
      </c>
      <c r="BW43" s="299" t="s">
        <v>434</v>
      </c>
      <c r="BX43" s="300"/>
      <c r="BY43" s="301"/>
      <c r="BZ43" s="301" t="s">
        <v>436</v>
      </c>
      <c r="CA43" s="301" t="s">
        <v>437</v>
      </c>
      <c r="CB43" s="301" t="s">
        <v>438</v>
      </c>
      <c r="CC43" s="301" t="s">
        <v>439</v>
      </c>
      <c r="CE43" s="299" t="s">
        <v>464</v>
      </c>
      <c r="CF43" s="302"/>
      <c r="CG43" s="300"/>
      <c r="CH43" s="303"/>
      <c r="CJ43" s="299" t="s">
        <v>469</v>
      </c>
      <c r="CK43" s="302"/>
      <c r="CL43" s="300"/>
      <c r="CM43" s="303"/>
      <c r="CO43" s="299" t="s">
        <v>472</v>
      </c>
      <c r="CP43" s="302"/>
      <c r="CQ43" s="300"/>
      <c r="CR43" s="303"/>
      <c r="CT43" s="299" t="s">
        <v>475</v>
      </c>
      <c r="CU43" s="300"/>
      <c r="CV43" s="301"/>
      <c r="CW43" s="307" t="s">
        <v>441</v>
      </c>
      <c r="CX43" s="301" t="s">
        <v>442</v>
      </c>
      <c r="CY43" s="301" t="s">
        <v>436</v>
      </c>
      <c r="CZ43" s="301" t="s">
        <v>437</v>
      </c>
      <c r="DA43" s="301" t="s">
        <v>438</v>
      </c>
      <c r="DB43" s="301" t="s">
        <v>439</v>
      </c>
      <c r="DG43"/>
    </row>
    <row r="44" spans="2:111" outlineLevel="1" x14ac:dyDescent="0.25">
      <c r="B44" s="251"/>
      <c r="C44" s="249"/>
      <c r="D44" s="249"/>
      <c r="E44" s="249"/>
      <c r="F44" s="249"/>
      <c r="G44" s="249"/>
      <c r="H44" s="249"/>
      <c r="I44" s="249"/>
      <c r="J44" s="249"/>
      <c r="K44" s="249"/>
      <c r="L44" s="250"/>
      <c r="M44" s="251"/>
      <c r="N44" s="249"/>
      <c r="O44" s="249"/>
      <c r="P44" s="249"/>
      <c r="Q44" s="249"/>
      <c r="R44" s="249"/>
      <c r="S44" s="249"/>
      <c r="T44" s="250"/>
      <c r="U44" s="249"/>
      <c r="V44" s="249"/>
      <c r="W44" s="249"/>
      <c r="X44" s="249"/>
      <c r="Y44" s="249"/>
      <c r="Z44" s="249"/>
      <c r="AA44" s="249"/>
      <c r="AB44" s="249"/>
      <c r="AC44" s="249"/>
      <c r="AD44" s="249"/>
      <c r="AE44" s="249"/>
      <c r="AF44" s="249"/>
      <c r="AG44" s="249"/>
      <c r="AH44" s="249"/>
      <c r="AI44" s="249"/>
      <c r="AJ44" s="249"/>
      <c r="AK44" s="249"/>
      <c r="AL44" s="249"/>
      <c r="AM44" s="250"/>
      <c r="AQ44" s="249" t="s">
        <v>481</v>
      </c>
      <c r="AS44" s="86" t="s">
        <v>246</v>
      </c>
      <c r="AT44" s="112">
        <f>SUM(INDEX(親1!$D$1:$D$70,6):INDEX(親1!$D$1:$D$70,$AQ$48))</f>
        <v>21757.664495573739</v>
      </c>
      <c r="AU44" s="112">
        <f>SUM(INDEX(親1!$J$1:$J$70,6):INDEX(親1!$J$1:$J$70,$AQ$48))</f>
        <v>16654.621320000002</v>
      </c>
      <c r="AV44" s="112">
        <f>SUM(INDEX(親1!$T$1:$T$70,6):INDEX(親1!$T$1:$T$70,$AQ$48))</f>
        <v>3192.8399999999997</v>
      </c>
      <c r="AW44" s="112">
        <f>SUM(INDEX(親1!$AC$1:$AC$70,6):INDEX(親1!$AC$1:$AC$70,$AQ$48))</f>
        <v>352.79999999999984</v>
      </c>
      <c r="AX44" s="112">
        <f>SUM(INDEX(親1!$AK$1:$AK$70,6):INDEX(親1!$AK$1:$AK$70,$AQ$48))</f>
        <v>1512</v>
      </c>
      <c r="AY44" s="118">
        <f>SUM(INDEX(親1!$AL$1:$AL$70,6):INDEX(親1!$AL$1:$AL$70,$AQ$48))</f>
        <v>11596.981319999999</v>
      </c>
      <c r="BA44" s="198" t="s">
        <v>303</v>
      </c>
      <c r="BB44" s="200">
        <v>0.4</v>
      </c>
      <c r="BD44" s="295" t="s">
        <v>447</v>
      </c>
      <c r="BE44" s="296"/>
      <c r="BF44" s="296"/>
      <c r="BG44" s="297">
        <f>SUM(INDEX(親1!$J$1:$J$70,6):INDEX(親1!$J$1:$J$70,$AQ$48))-$E$31</f>
        <v>16654.621320000002</v>
      </c>
      <c r="BH44" s="297">
        <f>SUM(INDEX(親2!$J$1:$J$70,6):INDEX(親2!$J$1:$J$70,$AQ$48))-$J$31</f>
        <v>3872.4136559999997</v>
      </c>
      <c r="BI44" s="297">
        <f>SUM(BG44:BH44)</f>
        <v>20527.034976000003</v>
      </c>
      <c r="BK44" s="295" t="s">
        <v>447</v>
      </c>
      <c r="BL44" s="296"/>
      <c r="BM44" s="297">
        <f t="shared" ref="BM44:BM49" si="10">SUM(BN44:BO44)</f>
        <v>288.37992411866924</v>
      </c>
      <c r="BN44" s="297">
        <f>BT44</f>
        <v>184.31014390328465</v>
      </c>
      <c r="BO44" s="297">
        <f>BU44</f>
        <v>104.06978021538461</v>
      </c>
      <c r="BQ44" s="295" t="s">
        <v>447</v>
      </c>
      <c r="BR44" s="296"/>
      <c r="BS44" s="296"/>
      <c r="BT44" s="297">
        <f>SUM(INDEX(親1!$J$1:$J$70,$AQ$49):INDEX(親1!$J$1:$J$70,$AQ$49))</f>
        <v>184.31014390328465</v>
      </c>
      <c r="BU44" s="297">
        <f>SUM(INDEX(親2!$J$1:$J$70,$AQ$49):INDEX(親2!$J$1:$J$70,$AQ$49))</f>
        <v>104.06978021538461</v>
      </c>
      <c r="BW44" s="295" t="s">
        <v>509</v>
      </c>
      <c r="BX44" s="296"/>
      <c r="BY44" s="296"/>
      <c r="BZ44" s="297">
        <f>子1!$J$71</f>
        <v>216</v>
      </c>
      <c r="CA44" s="297">
        <f>子2!$J$71</f>
        <v>216</v>
      </c>
      <c r="CB44" s="297">
        <f>子3!$J$71</f>
        <v>0</v>
      </c>
      <c r="CC44" s="297">
        <f>子4!$J$71</f>
        <v>0</v>
      </c>
      <c r="CE44" s="289"/>
      <c r="CF44" s="285"/>
      <c r="CG44" s="284" t="s">
        <v>459</v>
      </c>
      <c r="CH44" s="283">
        <f>SUM(INDEX(サマリ!$K$1:$K$70,6):INDEX(サマリ!$K$1:$K$70,$AQ$48))</f>
        <v>4825.9197937094823</v>
      </c>
      <c r="CJ44" s="289"/>
      <c r="CK44" s="285"/>
      <c r="CL44" s="284" t="s">
        <v>465</v>
      </c>
      <c r="CM44" s="283">
        <f>SUM(INDEX(サマリ!$AH$1:$AH$70,6):INDEX(サマリ!$AH$1:$AH$70,$AQ$48))</f>
        <v>1800</v>
      </c>
      <c r="CO44" s="289"/>
      <c r="CP44" s="285"/>
      <c r="CQ44" s="282" t="s">
        <v>470</v>
      </c>
      <c r="CR44" s="283">
        <f>SUM(INDEX(サマリ!$AG$1:$AG$70,6):INDEX(サマリ!$AG$1:$AG$70,$AQ$48))</f>
        <v>243</v>
      </c>
      <c r="CT44" s="289"/>
      <c r="CU44" s="285"/>
      <c r="CV44" s="282" t="s">
        <v>20</v>
      </c>
      <c r="CW44" s="283">
        <f>SUM(INDEX(親1!$M$1:$M$70,6):INDEX(親1!$M$1:$M$70,$AQ$48))</f>
        <v>1496.8800000000012</v>
      </c>
      <c r="CX44" s="283">
        <f>SUM(INDEX(親2!$M$1:$M$70,6):INDEX(親2!$M$1:$M$70,$AQ$48))</f>
        <v>1496.8800000000012</v>
      </c>
      <c r="CY44" s="283">
        <f>SUM(INDEX(子1!$M$1:$M$70,6):INDEX(子1!$M$1:$M$70,$AQ$48))</f>
        <v>409.85999999999996</v>
      </c>
      <c r="CZ44" s="283">
        <f>SUM(INDEX(子2!$M$1:$M$70,6):INDEX(子2!$M$1:$M$70,$AQ$48))</f>
        <v>338.58</v>
      </c>
      <c r="DA44" s="283">
        <f>SUM(INDEX(子3!$M$1:$M$70,6):INDEX(子3!$M$1:$M$70,$AQ$48))</f>
        <v>0</v>
      </c>
      <c r="DB44" s="283">
        <f>SUM(INDEX(子4!$M$1:$M$70,6):INDEX(子4!$M$1:$M$70,$AQ$48))</f>
        <v>0</v>
      </c>
      <c r="DG44"/>
    </row>
    <row r="45" spans="2:111" outlineLevel="1" x14ac:dyDescent="0.25">
      <c r="B45" s="251"/>
      <c r="C45" s="249"/>
      <c r="D45" s="249"/>
      <c r="E45" s="249"/>
      <c r="F45" s="249"/>
      <c r="G45" s="249"/>
      <c r="H45" s="249"/>
      <c r="I45" s="249"/>
      <c r="J45" s="249"/>
      <c r="K45" s="249"/>
      <c r="L45" s="250"/>
      <c r="M45" s="251"/>
      <c r="N45" s="249"/>
      <c r="O45" s="249"/>
      <c r="P45" s="249"/>
      <c r="Q45" s="249"/>
      <c r="R45" s="249"/>
      <c r="S45" s="249"/>
      <c r="T45" s="250"/>
      <c r="U45" s="249"/>
      <c r="V45" s="249"/>
      <c r="W45" s="249"/>
      <c r="X45" s="249"/>
      <c r="Y45" s="249"/>
      <c r="Z45" s="249"/>
      <c r="AA45" s="249"/>
      <c r="AB45" s="249"/>
      <c r="AC45" s="249"/>
      <c r="AD45" s="249"/>
      <c r="AE45" s="249"/>
      <c r="AF45" s="249"/>
      <c r="AG45" s="249"/>
      <c r="AH45" s="249"/>
      <c r="AI45" s="249"/>
      <c r="AJ45" s="249"/>
      <c r="AK45" s="249"/>
      <c r="AL45" s="249"/>
      <c r="AM45" s="250"/>
      <c r="AQ45" s="249" t="s">
        <v>479</v>
      </c>
      <c r="AS45" s="86" t="s">
        <v>247</v>
      </c>
      <c r="AT45" s="112">
        <f>SUM(INDEX(親2!$D$1:$D$70,6):INDEX(親2!$D$1:$D$70,$AQ$48))</f>
        <v>5180.762277562937</v>
      </c>
      <c r="AU45" s="112">
        <f>SUM(INDEX(親2!$J$1:$J$70,6):INDEX(親2!$J$1:$J$70,$AQ$48))</f>
        <v>3872.4136559999997</v>
      </c>
      <c r="AV45" s="112">
        <f>SUM(INDEX(親2!$T$1:$T$70,6):INDEX(親2!$T$1:$T$70,$AQ$48))</f>
        <v>2370.0600000000009</v>
      </c>
      <c r="AW45" s="112">
        <f>SUM(INDEX(親2!$AC$1:$AC$70,6):INDEX(親2!$AC$1:$AC$70,$AQ$48))</f>
        <v>100.80000000000007</v>
      </c>
      <c r="AX45" s="112">
        <f>SUM(INDEX(親2!$AK$1:$AK$70,6):INDEX(親2!$AK$1:$AK$70,$AQ$48))</f>
        <v>504</v>
      </c>
      <c r="AY45" s="118">
        <f>SUM(INDEX(親2!$AL$1:$AL$70,6):INDEX(親2!$AL$1:$AL$70,$AQ$48))</f>
        <v>897.55365599999982</v>
      </c>
      <c r="BD45" s="289"/>
      <c r="BE45" s="285"/>
      <c r="BF45" s="284" t="s">
        <v>20</v>
      </c>
      <c r="BG45" s="283">
        <f>SUM(INDEX(親1!$M$1:$M$70,6):INDEX(親1!$M$1:$M$70,$AQ$48))</f>
        <v>1496.8800000000012</v>
      </c>
      <c r="BH45" s="283">
        <f>SUM(INDEX(親2!$M$1:$M$70,6):INDEX(親2!$M$1:$M$70,$AQ$48))</f>
        <v>1496.8800000000012</v>
      </c>
      <c r="BI45" s="283">
        <f t="shared" ref="BI45:BI58" si="11">SUM(BG45:BH45)</f>
        <v>2993.7600000000025</v>
      </c>
      <c r="BK45" s="290"/>
      <c r="BL45" s="287" t="s">
        <v>291</v>
      </c>
      <c r="BM45" s="39">
        <f t="shared" si="10"/>
        <v>120.45000000000002</v>
      </c>
      <c r="BN45" s="39">
        <f>BT51</f>
        <v>64.02000000000001</v>
      </c>
      <c r="BO45" s="39">
        <f>BU51</f>
        <v>56.430000000000007</v>
      </c>
      <c r="BQ45" s="289"/>
      <c r="BR45" s="285"/>
      <c r="BS45" s="284" t="s">
        <v>20</v>
      </c>
      <c r="BT45" s="283">
        <f>SUM(INDEX(親1!$M$1:$M$70,$AQ$49):INDEX(親1!$M$1:$M$70,$AQ$49))</f>
        <v>35.640000000000008</v>
      </c>
      <c r="BU45" s="283">
        <f>SUM(INDEX(親2!$M$1:$M$70,$AQ$49):INDEX(親2!$M$1:$M$70,$AQ$49))</f>
        <v>35.640000000000008</v>
      </c>
      <c r="BW45" s="290"/>
      <c r="BX45" s="285"/>
      <c r="BY45" s="282" t="s">
        <v>20</v>
      </c>
      <c r="BZ45" s="283">
        <f>子1!$M71</f>
        <v>409.85999999999996</v>
      </c>
      <c r="CA45" s="283">
        <f>子2!$M71</f>
        <v>338.58</v>
      </c>
      <c r="CB45" s="283">
        <f>子3!$M71</f>
        <v>0</v>
      </c>
      <c r="CC45" s="283">
        <f>子4!$M71</f>
        <v>0</v>
      </c>
      <c r="CE45" s="290"/>
      <c r="CF45" s="286"/>
      <c r="CG45" s="282" t="s">
        <v>460</v>
      </c>
      <c r="CH45" s="283">
        <f>SUM(INDEX(サマリ!$L$1:$L$70,6):INDEX(サマリ!$L$1:$L$70,$AQ$48))</f>
        <v>1007.5116364543817</v>
      </c>
      <c r="CJ45" s="290"/>
      <c r="CK45" s="286"/>
      <c r="CL45" s="282" t="s">
        <v>466</v>
      </c>
      <c r="CM45" s="283">
        <f>SUM(INDEX(サマリ!$AI$1:$AI$70,6):INDEX(サマリ!$AI$1:$AI$70,$AQ$48))</f>
        <v>0</v>
      </c>
      <c r="CO45" s="290"/>
      <c r="CP45" s="286"/>
      <c r="CQ45" s="284" t="s">
        <v>471</v>
      </c>
      <c r="CR45" s="283">
        <f>SUM(INDEX(サマリ!$AF$1:$AF$70,6):INDEX(サマリ!$AF$1:$AF$70,$AQ$48))</f>
        <v>554</v>
      </c>
      <c r="CT45" s="290"/>
      <c r="CU45" s="286"/>
      <c r="CV45" s="282" t="s">
        <v>21</v>
      </c>
      <c r="CW45" s="283">
        <f>SUM(INDEX(親1!$N$1:$N$70,6):INDEX(親1!$N$1:$N$70,$AQ$48))</f>
        <v>554.39999999999986</v>
      </c>
      <c r="CX45" s="283">
        <f>SUM(INDEX(親2!$N$1:$N$70,6):INDEX(親2!$N$1:$N$70,$AQ$48))</f>
        <v>554.39999999999986</v>
      </c>
      <c r="CY45" s="283">
        <f>SUM(INDEX(子1!$N$1:$N$70,6):INDEX(子1!$N$1:$N$70,$AQ$48))</f>
        <v>151.79999999999993</v>
      </c>
      <c r="CZ45" s="283">
        <f>SUM(INDEX(子2!$N$1:$N$70,6):INDEX(子2!$N$1:$N$70,$AQ$48))</f>
        <v>125.39999999999995</v>
      </c>
      <c r="DA45" s="283">
        <f>SUM(INDEX(子3!$N$1:$N$70,6):INDEX(子3!$N$1:$N$70,$AQ$48))</f>
        <v>0</v>
      </c>
      <c r="DB45" s="283">
        <f>SUM(INDEX(子4!$N$1:$N$70,6):INDEX(子4!$N$1:$N$70,$AQ$48))</f>
        <v>0</v>
      </c>
      <c r="DG45"/>
    </row>
    <row r="46" spans="2:111" outlineLevel="1" x14ac:dyDescent="0.25">
      <c r="B46" s="251"/>
      <c r="C46" s="249"/>
      <c r="D46" s="249"/>
      <c r="E46" s="249"/>
      <c r="F46" s="249"/>
      <c r="G46" s="249"/>
      <c r="H46" s="249"/>
      <c r="I46" s="249"/>
      <c r="J46" s="249"/>
      <c r="K46" s="249"/>
      <c r="L46" s="250"/>
      <c r="M46" s="251"/>
      <c r="N46" s="249"/>
      <c r="O46" s="249"/>
      <c r="P46" s="249"/>
      <c r="Q46" s="249"/>
      <c r="R46" s="249"/>
      <c r="S46" s="249"/>
      <c r="T46" s="250"/>
      <c r="U46" s="249"/>
      <c r="V46" s="249"/>
      <c r="W46" s="249"/>
      <c r="X46" s="249"/>
      <c r="Y46" s="249"/>
      <c r="Z46" s="249"/>
      <c r="AA46" s="249"/>
      <c r="AB46" s="249"/>
      <c r="AC46" s="249"/>
      <c r="AD46" s="249"/>
      <c r="AE46" s="249"/>
      <c r="AF46" s="249"/>
      <c r="AG46" s="249"/>
      <c r="AH46" s="249"/>
      <c r="AI46" s="249"/>
      <c r="AJ46" s="249"/>
      <c r="AK46" s="249"/>
      <c r="AL46" s="249"/>
      <c r="AM46" s="250"/>
      <c r="AQ46" s="249" t="s">
        <v>480</v>
      </c>
      <c r="AS46" s="86" t="s">
        <v>248</v>
      </c>
      <c r="AT46" s="112" t="str">
        <f>INDEX(子1!$C$1:$C$70,$AQ$48)&amp;"歳"</f>
        <v>37歳</v>
      </c>
      <c r="AU46" s="112">
        <f>SUM(INDEX(子1!$J$1:$J$70,6):INDEX(子1!$J$1:$J$70,$AQ$48))</f>
        <v>216</v>
      </c>
      <c r="AV46" s="112">
        <f>SUM(INDEX(子1!$T$1:$T$70,6):INDEX(子1!$T$1:$T$70,$AQ$48))</f>
        <v>648.94500000000039</v>
      </c>
      <c r="AW46" s="112">
        <f>SUM(INDEX(子1!$AC$1:$AC$70,6):INDEX(子1!$AC$1:$AC$70,$AQ$48))</f>
        <v>786.16289999999992</v>
      </c>
      <c r="AX46" s="112">
        <f>SUM(INDEX(子1!$AK$1:$AK$70,6):INDEX(子1!$AK$1:$AK$70,$AQ$48))</f>
        <v>114</v>
      </c>
      <c r="AY46" s="118">
        <f>SUM(INDEX(子1!$AL$1:$AL$70,6):INDEX(子1!$AL$1:$AL$70,$AQ$48))</f>
        <v>-1333.1079</v>
      </c>
      <c r="BD46" s="290"/>
      <c r="BE46" s="286"/>
      <c r="BF46" s="282" t="s">
        <v>21</v>
      </c>
      <c r="BG46" s="283">
        <f>SUM(INDEX(親1!$N$1:$N$70,6):INDEX(親1!$N$1:$N$70,$AQ$48))</f>
        <v>554.39999999999986</v>
      </c>
      <c r="BH46" s="283">
        <f>SUM(INDEX(親2!$N$1:$N$70,6):INDEX(親2!$N$1:$N$70,$AQ$48))</f>
        <v>554.39999999999986</v>
      </c>
      <c r="BI46" s="283">
        <f t="shared" si="11"/>
        <v>1108.7999999999997</v>
      </c>
      <c r="BK46" s="290"/>
      <c r="BL46" s="287" t="s">
        <v>72</v>
      </c>
      <c r="BM46" s="39">
        <f>SUM(BN46:BO46)</f>
        <v>58.8</v>
      </c>
      <c r="BN46" s="39">
        <f>BT56</f>
        <v>44.4</v>
      </c>
      <c r="BO46" s="39">
        <f>BU56</f>
        <v>14.4</v>
      </c>
      <c r="BQ46" s="290"/>
      <c r="BR46" s="286"/>
      <c r="BS46" s="282" t="s">
        <v>21</v>
      </c>
      <c r="BT46" s="283">
        <f>SUM(INDEX(親1!$N$1:$N$70,$AQ$49):INDEX(親1!$N$1:$N$70,$AQ$49))</f>
        <v>13.200000000000001</v>
      </c>
      <c r="BU46" s="283">
        <f>SUM(INDEX(親2!$N$1:$N$70,$AQ$49):INDEX(親2!$N$1:$N$70,$AQ$49))</f>
        <v>13.200000000000001</v>
      </c>
      <c r="BW46" s="290"/>
      <c r="BX46" s="286"/>
      <c r="BY46" s="282" t="s">
        <v>21</v>
      </c>
      <c r="BZ46" s="283">
        <f>子1!$N71</f>
        <v>151.79999999999993</v>
      </c>
      <c r="CA46" s="283">
        <f>子2!$N71</f>
        <v>125.39999999999995</v>
      </c>
      <c r="CB46" s="283">
        <f>子3!$N71</f>
        <v>0</v>
      </c>
      <c r="CC46" s="283">
        <f>子4!$N71</f>
        <v>0</v>
      </c>
      <c r="CE46" s="290"/>
      <c r="CF46" s="286"/>
      <c r="CG46" s="282" t="s">
        <v>461</v>
      </c>
      <c r="CH46" s="283">
        <f>SUM(INDEX(サマリ!$AF$1:$AF$70,6):INDEX(サマリ!$AF$1:$AF$70,$AQ$48))</f>
        <v>554</v>
      </c>
      <c r="CJ46" s="290"/>
      <c r="CK46" s="286"/>
      <c r="CL46" s="282" t="s">
        <v>467</v>
      </c>
      <c r="CM46" s="283">
        <f>SUM(INDEX(サマリ!$AJ$1:$AJ$70,6):INDEX(サマリ!$AJ$1:$AJ$70,$AQ$48))</f>
        <v>903</v>
      </c>
      <c r="CO46" s="290"/>
      <c r="CP46" s="286"/>
      <c r="CQ46" s="282"/>
      <c r="CR46" s="283"/>
      <c r="CT46" s="290"/>
      <c r="CU46" s="286"/>
      <c r="CV46" s="282" t="s">
        <v>22</v>
      </c>
      <c r="CW46" s="283">
        <f>SUM(INDEX(親1!$O$1:$O$70,6):INDEX(親1!$O$1:$O$70,$AQ$48))</f>
        <v>277.19999999999993</v>
      </c>
      <c r="CX46" s="283">
        <f>SUM(INDEX(親2!$O$1:$O$70,6):INDEX(親2!$O$1:$O$70,$AQ$48))</f>
        <v>138.59999999999997</v>
      </c>
      <c r="CY46" s="283">
        <f>SUM(INDEX(子1!$O$1:$O$70,6):INDEX(子1!$O$1:$O$70,$AQ$48))</f>
        <v>37.949999999999982</v>
      </c>
      <c r="CZ46" s="283">
        <f>SUM(INDEX(子2!$O$1:$O$70,6):INDEX(子2!$O$1:$O$70,$AQ$48))</f>
        <v>31.349999999999987</v>
      </c>
      <c r="DA46" s="283">
        <f>SUM(INDEX(子3!$O$1:$O$70,6):INDEX(子3!$O$1:$O$70,$AQ$48))</f>
        <v>0</v>
      </c>
      <c r="DB46" s="283">
        <f>SUM(INDEX(子4!$O$1:$O$70,6):INDEX(子4!$O$1:$O$70,$AQ$48))</f>
        <v>0</v>
      </c>
      <c r="DG46"/>
    </row>
    <row r="47" spans="2:111" outlineLevel="1" x14ac:dyDescent="0.25">
      <c r="B47" s="251"/>
      <c r="C47" s="249"/>
      <c r="D47" s="249"/>
      <c r="E47" s="249"/>
      <c r="F47" s="249"/>
      <c r="G47" s="249"/>
      <c r="H47" s="249"/>
      <c r="I47" s="249"/>
      <c r="J47" s="249"/>
      <c r="K47" s="249"/>
      <c r="L47" s="250"/>
      <c r="M47" s="251"/>
      <c r="N47" s="249"/>
      <c r="O47" s="249"/>
      <c r="P47" s="249"/>
      <c r="Q47" s="249"/>
      <c r="R47" s="249"/>
      <c r="S47" s="249"/>
      <c r="T47" s="250"/>
      <c r="U47" s="249"/>
      <c r="V47" s="249"/>
      <c r="W47" s="249"/>
      <c r="X47" s="249"/>
      <c r="Y47" s="249"/>
      <c r="Z47" s="249"/>
      <c r="AA47" s="249"/>
      <c r="AB47" s="249"/>
      <c r="AC47" s="249"/>
      <c r="AD47" s="249"/>
      <c r="AE47" s="249"/>
      <c r="AF47" s="249"/>
      <c r="AG47" s="249"/>
      <c r="AH47" s="249"/>
      <c r="AI47" s="249"/>
      <c r="AJ47" s="249"/>
      <c r="AK47" s="249"/>
      <c r="AL47" s="249"/>
      <c r="AM47" s="250"/>
      <c r="AS47" s="86" t="s">
        <v>249</v>
      </c>
      <c r="AT47" s="112" t="str">
        <f>INDEX(子2!$C$1:$C$70,$AQ$48)&amp;"歳"</f>
        <v>34歳</v>
      </c>
      <c r="AU47" s="112">
        <f>SUM(INDEX(子2!$J$1:$J$70,6):INDEX(子2!$J$1:$J$70,$AQ$48))</f>
        <v>216</v>
      </c>
      <c r="AV47" s="112">
        <f>SUM(INDEX(子2!$T$1:$T$70,6):INDEX(子2!$T$1:$T$70,$AQ$48))</f>
        <v>536.08500000000026</v>
      </c>
      <c r="AW47" s="112">
        <f>SUM(INDEX(子2!$AC$1:$AC$70,6):INDEX(子2!$AC$1:$AC$70,$AQ$48))</f>
        <v>1307.3679999999999</v>
      </c>
      <c r="AX47" s="112">
        <f>SUM(INDEX(子2!$AK$1:$AK$70,6):INDEX(子2!$AK$1:$AK$70,$AQ$48))</f>
        <v>114</v>
      </c>
      <c r="AY47" s="118">
        <f>SUM(INDEX(子2!$AL$1:$AL$70,6):INDEX(子2!$AL$1:$AL$70,$AQ$48))</f>
        <v>-1741.453</v>
      </c>
      <c r="BD47" s="290"/>
      <c r="BE47" s="286"/>
      <c r="BF47" s="282" t="s">
        <v>22</v>
      </c>
      <c r="BG47" s="283">
        <f>SUM(INDEX(親1!$O$1:$O$70,6):INDEX(親1!$O$1:$O$70,$AQ$48))</f>
        <v>277.19999999999993</v>
      </c>
      <c r="BH47" s="283">
        <f>SUM(INDEX(親2!$O$1:$O$70,6):INDEX(親2!$O$1:$O$70,$AQ$48))</f>
        <v>138.59999999999997</v>
      </c>
      <c r="BI47" s="283">
        <f t="shared" si="11"/>
        <v>415.7999999999999</v>
      </c>
      <c r="BK47" s="291" t="s">
        <v>435</v>
      </c>
      <c r="BL47" s="292"/>
      <c r="BM47" s="293">
        <f t="shared" si="10"/>
        <v>179.25000000000003</v>
      </c>
      <c r="BN47" s="293">
        <f>SUM(BN45:BN46)</f>
        <v>108.42000000000002</v>
      </c>
      <c r="BO47" s="293">
        <f t="shared" ref="BO47" si="12">SUM(BO45:BO46)</f>
        <v>70.830000000000013</v>
      </c>
      <c r="BQ47" s="290"/>
      <c r="BR47" s="286"/>
      <c r="BS47" s="282" t="s">
        <v>22</v>
      </c>
      <c r="BT47" s="283">
        <f>SUM(INDEX(親1!$O$1:$O$70,$AQ$49):INDEX(親1!$O$1:$O$70,$AQ$49))</f>
        <v>6.6000000000000005</v>
      </c>
      <c r="BU47" s="283">
        <f>SUM(INDEX(親2!$O$1:$O$70,$AQ$49):INDEX(親2!$O$1:$O$70,$AQ$49))</f>
        <v>3.3000000000000003</v>
      </c>
      <c r="BW47" s="290"/>
      <c r="BX47" s="286"/>
      <c r="BY47" s="282" t="s">
        <v>22</v>
      </c>
      <c r="BZ47" s="283">
        <f>子1!$O71</f>
        <v>37.949999999999982</v>
      </c>
      <c r="CA47" s="283">
        <f>子2!$O71</f>
        <v>31.349999999999987</v>
      </c>
      <c r="CB47" s="283">
        <f>子3!$O71</f>
        <v>0</v>
      </c>
      <c r="CC47" s="283">
        <f>子4!$O71</f>
        <v>0</v>
      </c>
      <c r="CE47" s="290"/>
      <c r="CF47" s="287" t="str">
        <f>IF($AQ$43,$AQ$43&amp;"歳まで",$D$22&amp;"歳まで")</f>
        <v>65歳まで</v>
      </c>
      <c r="CG47" s="288"/>
      <c r="CH47" s="39">
        <f>SUM(CH44:CH46)</f>
        <v>6387.4314301638642</v>
      </c>
      <c r="CJ47" s="290"/>
      <c r="CK47" s="287" t="str">
        <f>IF($AQ$43,$AQ$43&amp;"歳まで",$D$22&amp;"歳まで")</f>
        <v>65歳まで</v>
      </c>
      <c r="CL47" s="288"/>
      <c r="CM47" s="39">
        <f>SUM(CM44:CM46)</f>
        <v>2703</v>
      </c>
      <c r="CO47" s="290"/>
      <c r="CP47" s="287" t="str">
        <f>IF($AQ$43,$AQ$43&amp;"歳まで",$D$22&amp;"歳まで")</f>
        <v>65歳まで</v>
      </c>
      <c r="CQ47" s="288"/>
      <c r="CR47" s="39">
        <f>SUM(CR44:CR46)</f>
        <v>797</v>
      </c>
      <c r="CT47" s="290"/>
      <c r="CU47" s="286"/>
      <c r="CV47" s="282" t="s">
        <v>23</v>
      </c>
      <c r="CW47" s="283">
        <f>SUM(INDEX(親1!$P$1:$P$70,6):INDEX(親1!$P$1:$P$70,$AQ$48))</f>
        <v>221.76000000000005</v>
      </c>
      <c r="CX47" s="283">
        <f>SUM(INDEX(親2!$P$1:$P$70,6):INDEX(親2!$P$1:$P$70,$AQ$48))</f>
        <v>110.88000000000002</v>
      </c>
      <c r="CY47" s="283">
        <f>SUM(INDEX(子1!$P$1:$P$70,6):INDEX(子1!$P$1:$P$70,$AQ$48))</f>
        <v>30.360000000000007</v>
      </c>
      <c r="CZ47" s="283">
        <f>SUM(INDEX(子2!$P$1:$P$70,6):INDEX(子2!$P$1:$P$70,$AQ$48))</f>
        <v>25.080000000000005</v>
      </c>
      <c r="DA47" s="283">
        <f>SUM(INDEX(子3!$P$1:$P$70,6):INDEX(子3!$P$1:$P$70,$AQ$48))</f>
        <v>0</v>
      </c>
      <c r="DB47" s="283">
        <f>SUM(INDEX(子4!$P$1:$P$70,6):INDEX(子4!$P$1:$P$70,$AQ$48))</f>
        <v>0</v>
      </c>
      <c r="DG47"/>
    </row>
    <row r="48" spans="2:111" outlineLevel="1" x14ac:dyDescent="0.25">
      <c r="B48" s="251"/>
      <c r="C48" s="249"/>
      <c r="D48" s="249"/>
      <c r="E48" s="249"/>
      <c r="F48" s="249"/>
      <c r="G48" s="249"/>
      <c r="H48" s="249"/>
      <c r="I48" s="249"/>
      <c r="J48" s="249"/>
      <c r="K48" s="249"/>
      <c r="L48" s="250"/>
      <c r="M48" s="251"/>
      <c r="N48" s="249"/>
      <c r="O48" s="249"/>
      <c r="P48" s="249"/>
      <c r="Q48" s="249"/>
      <c r="R48" s="249"/>
      <c r="S48" s="249"/>
      <c r="T48" s="250"/>
      <c r="U48" s="249"/>
      <c r="V48" s="249"/>
      <c r="W48" s="249"/>
      <c r="X48" s="249"/>
      <c r="Y48" s="249"/>
      <c r="Z48" s="249"/>
      <c r="AA48" s="249"/>
      <c r="AB48" s="249"/>
      <c r="AC48" s="249"/>
      <c r="AD48" s="249"/>
      <c r="AE48" s="249"/>
      <c r="AF48" s="249"/>
      <c r="AG48" s="249"/>
      <c r="AH48" s="249"/>
      <c r="AI48" s="249"/>
      <c r="AJ48" s="249"/>
      <c r="AK48" s="249"/>
      <c r="AL48" s="249"/>
      <c r="AM48" s="250"/>
      <c r="AP48" s="204" t="s">
        <v>308</v>
      </c>
      <c r="AQ48" s="204">
        <f>IF(AQ43,MATCH(AQ43,親1!C:C,0),MATCH($D$22,親1!C:C,0))</f>
        <v>47</v>
      </c>
      <c r="AS48" s="86" t="s">
        <v>251</v>
      </c>
      <c r="AT48" s="112" t="str">
        <f>INDEX(子3!$C$1:$C$70,$AQ$48)&amp;"歳"</f>
        <v>-59歳</v>
      </c>
      <c r="AU48" s="112">
        <f>SUM(INDEX(子3!$J$1:$J$70,6):INDEX(子3!$J$1:$J$70,$AQ$48))</f>
        <v>0</v>
      </c>
      <c r="AV48" s="112">
        <f>SUM(INDEX(子3!$T$1:$T$70,6):INDEX(子3!$T$1:$T$70,$AQ$48))</f>
        <v>0</v>
      </c>
      <c r="AW48" s="112">
        <f>SUM(INDEX(子3!$AC$1:$AC$70,6):INDEX(子3!$AC$1:$AC$70,$AQ$48))</f>
        <v>0</v>
      </c>
      <c r="AX48" s="112">
        <f>SUM(INDEX(子3!$AK$1:$AK$70,6):INDEX(子3!$AK$1:$AK$70,$AQ$48))</f>
        <v>0</v>
      </c>
      <c r="AY48" s="118">
        <f>SUM(INDEX(子3!$AL$1:$AL$70,6):INDEX(子3!$AL$1:$AL$70,$AQ$48))</f>
        <v>0</v>
      </c>
      <c r="BD48" s="290"/>
      <c r="BE48" s="286"/>
      <c r="BF48" s="282" t="s">
        <v>23</v>
      </c>
      <c r="BG48" s="283">
        <f>SUM(INDEX(親1!$P$1:$P$70,6):INDEX(親1!$P$1:$P$70,$AQ$48))</f>
        <v>221.76000000000005</v>
      </c>
      <c r="BH48" s="283">
        <f>SUM(INDEX(親2!$P$1:$P$70,6):INDEX(親2!$P$1:$P$70,$AQ$48))</f>
        <v>110.88000000000002</v>
      </c>
      <c r="BI48" s="283">
        <f t="shared" si="11"/>
        <v>332.6400000000001</v>
      </c>
      <c r="BK48" s="295" t="s">
        <v>450</v>
      </c>
      <c r="BL48" s="296"/>
      <c r="BM48" s="322">
        <f t="shared" si="10"/>
        <v>109.12992411866924</v>
      </c>
      <c r="BN48" s="322">
        <f>BN44-BN47</f>
        <v>75.890143903284638</v>
      </c>
      <c r="BO48" s="322">
        <f t="shared" ref="BO48" si="13">BO44-BO47</f>
        <v>33.239780215384599</v>
      </c>
      <c r="BQ48" s="290"/>
      <c r="BR48" s="286"/>
      <c r="BS48" s="282" t="s">
        <v>23</v>
      </c>
      <c r="BT48" s="283">
        <f>SUM(INDEX(親1!$P$1:$P$70,$AQ$49):INDEX(親1!$P$1:$P$70,$AQ$49))</f>
        <v>5.2800000000000011</v>
      </c>
      <c r="BU48" s="283">
        <f>SUM(INDEX(親2!$P$1:$P$70,$AQ$49):INDEX(親2!$P$1:$P$70,$AQ$49))</f>
        <v>2.6400000000000006</v>
      </c>
      <c r="BW48" s="290"/>
      <c r="BX48" s="286"/>
      <c r="BY48" s="282" t="s">
        <v>23</v>
      </c>
      <c r="BZ48" s="283">
        <f>子1!$P71</f>
        <v>30.360000000000007</v>
      </c>
      <c r="CA48" s="283">
        <f>子2!$P71</f>
        <v>25.080000000000005</v>
      </c>
      <c r="CB48" s="283">
        <f>子3!$P71</f>
        <v>0</v>
      </c>
      <c r="CC48" s="283">
        <f>子4!$P71</f>
        <v>0</v>
      </c>
      <c r="CE48" s="290"/>
      <c r="CF48" s="285"/>
      <c r="CG48" s="284" t="s">
        <v>463</v>
      </c>
      <c r="CH48" s="283">
        <f>SUM(INDEX(サマリ!$K$1:$K$70,$AQ$48+1):INDEX(サマリ!$K$1:$K$70,$AQ$49))</f>
        <v>355.67998066026377</v>
      </c>
      <c r="CJ48" s="290"/>
      <c r="CK48" s="285"/>
      <c r="CL48" s="284" t="s">
        <v>465</v>
      </c>
      <c r="CM48" s="283">
        <f>SUM(INDEX(サマリ!$AH$1:$AH$70,6):INDEX(サマリ!$AH$1:$AH$70,$AQ$49))-CM44</f>
        <v>500</v>
      </c>
      <c r="CO48" s="290"/>
      <c r="CP48" s="285"/>
      <c r="CQ48" s="282" t="s">
        <v>470</v>
      </c>
      <c r="CR48" s="283">
        <f>SUM(INDEX(サマリ!$AG$1:$AG$70,6):INDEX(サマリ!$AG$1:$AG$70,$AQ$49))-CR44</f>
        <v>117</v>
      </c>
      <c r="CT48" s="290"/>
      <c r="CU48" s="286"/>
      <c r="CV48" s="282" t="s">
        <v>24</v>
      </c>
      <c r="CW48" s="283">
        <f>SUM(INDEX(親1!$Q$1:$Q$70,6):INDEX(親1!$Q$1:$Q$70,$AQ$48))</f>
        <v>138.59999999999997</v>
      </c>
      <c r="CX48" s="283">
        <f>SUM(INDEX(親2!$Q$1:$Q$70,6):INDEX(親2!$Q$1:$Q$70,$AQ$48))</f>
        <v>69.299999999999983</v>
      </c>
      <c r="CY48" s="283">
        <f>SUM(INDEX(子1!$Q$1:$Q$70,6):INDEX(子1!$Q$1:$Q$70,$AQ$48))</f>
        <v>18.974999999999991</v>
      </c>
      <c r="CZ48" s="283">
        <f>SUM(INDEX(子2!$Q$1:$Q$70,6):INDEX(子2!$Q$1:$Q$70,$AQ$48))</f>
        <v>15.674999999999994</v>
      </c>
      <c r="DA48" s="283">
        <f>SUM(INDEX(子3!$Q$1:$Q$70,6):INDEX(子3!$Q$1:$Q$70,$AQ$48))</f>
        <v>0</v>
      </c>
      <c r="DB48" s="283">
        <f>SUM(INDEX(子4!$Q$1:$Q$70,6):INDEX(子4!$Q$1:$Q$70,$AQ$48))</f>
        <v>0</v>
      </c>
      <c r="DG48"/>
    </row>
    <row r="49" spans="2:111" outlineLevel="1" x14ac:dyDescent="0.25">
      <c r="B49" s="251"/>
      <c r="C49" s="249"/>
      <c r="D49" s="249"/>
      <c r="E49" s="249"/>
      <c r="F49" s="249"/>
      <c r="G49" s="249"/>
      <c r="H49" s="249"/>
      <c r="I49" s="249"/>
      <c r="J49" s="249"/>
      <c r="K49" s="249"/>
      <c r="L49" s="250"/>
      <c r="M49" s="251"/>
      <c r="N49" s="249"/>
      <c r="O49" s="249"/>
      <c r="P49" s="249"/>
      <c r="Q49" s="249"/>
      <c r="R49" s="249"/>
      <c r="S49" s="249"/>
      <c r="T49" s="250"/>
      <c r="U49" s="249"/>
      <c r="V49" s="249"/>
      <c r="W49" s="249"/>
      <c r="X49" s="249"/>
      <c r="Y49" s="249"/>
      <c r="Z49" s="249"/>
      <c r="AA49" s="249"/>
      <c r="AB49" s="249"/>
      <c r="AC49" s="249"/>
      <c r="AD49" s="249"/>
      <c r="AE49" s="249"/>
      <c r="AF49" s="249"/>
      <c r="AG49" s="249"/>
      <c r="AH49" s="249"/>
      <c r="AI49" s="249"/>
      <c r="AJ49" s="249"/>
      <c r="AK49" s="249"/>
      <c r="AL49" s="249"/>
      <c r="AM49" s="250"/>
      <c r="AQ49">
        <f>MATCH(80,親1!C:C,0)</f>
        <v>62</v>
      </c>
      <c r="AS49" s="86" t="s">
        <v>250</v>
      </c>
      <c r="AT49" s="112" t="str">
        <f>INDEX(子4!$C$1:$C$70,$AQ$48)&amp;"歳"</f>
        <v>-59歳</v>
      </c>
      <c r="AU49" s="112">
        <f>SUM(INDEX(子4!$J$1:$J$70,6):INDEX(子4!$J$1:$J$70,$AQ$48))</f>
        <v>0</v>
      </c>
      <c r="AV49" s="112">
        <f>SUM(INDEX(子4!$T$1:$T$70,6):INDEX(子4!$T$1:$T$70,$AQ$48))</f>
        <v>0</v>
      </c>
      <c r="AW49" s="112">
        <f>SUM(INDEX(子4!$AC$1:$AC$70,6):INDEX(子4!$AC$1:$AC$70,$AQ$48))</f>
        <v>0</v>
      </c>
      <c r="AX49" s="112">
        <f>SUM(INDEX(子4!$AK$1:$AK$70,6):INDEX(子4!$AK$1:$AK$70,$AQ$48))</f>
        <v>0</v>
      </c>
      <c r="AY49" s="118">
        <f>SUM(INDEX(子4!$AL$1:$AL$70,6):INDEX(子4!$AL$1:$AL$70,$AQ$48))</f>
        <v>0</v>
      </c>
      <c r="BD49" s="290"/>
      <c r="BE49" s="286"/>
      <c r="BF49" s="282" t="s">
        <v>24</v>
      </c>
      <c r="BG49" s="283">
        <f>SUM(INDEX(親1!$Q$1:$Q$70,6):INDEX(親1!$Q$1:$Q$70,$AQ$48))</f>
        <v>138.59999999999997</v>
      </c>
      <c r="BH49" s="283">
        <f>SUM(INDEX(親2!$Q$1:$Q$70,6):INDEX(親2!$Q$1:$Q$70,$AQ$48))</f>
        <v>69.299999999999983</v>
      </c>
      <c r="BI49" s="283">
        <f t="shared" si="11"/>
        <v>207.89999999999995</v>
      </c>
      <c r="BK49" s="291" t="s">
        <v>455</v>
      </c>
      <c r="BL49" s="292"/>
      <c r="BM49" s="293">
        <f t="shared" si="10"/>
        <v>36.293049999999994</v>
      </c>
      <c r="BN49" s="293">
        <f>BT63</f>
        <v>23.195710619011351</v>
      </c>
      <c r="BO49" s="293">
        <f>BU63</f>
        <v>13.097339380988645</v>
      </c>
      <c r="BQ49" s="290"/>
      <c r="BR49" s="286"/>
      <c r="BS49" s="282" t="s">
        <v>24</v>
      </c>
      <c r="BT49" s="283">
        <f>SUM(INDEX(親1!$Q$1:$Q$70,$AQ$49):INDEX(親1!$Q$1:$Q$70,$AQ$49))</f>
        <v>3.3000000000000003</v>
      </c>
      <c r="BU49" s="283">
        <f>SUM(INDEX(親2!$Q$1:$Q$70,$AQ$49):INDEX(親2!$Q$1:$Q$70,$AQ$49))</f>
        <v>1.6500000000000001</v>
      </c>
      <c r="BW49" s="290"/>
      <c r="BX49" s="286"/>
      <c r="BY49" s="282" t="s">
        <v>24</v>
      </c>
      <c r="BZ49" s="283">
        <f>子1!$Q71</f>
        <v>18.974999999999991</v>
      </c>
      <c r="CA49" s="283">
        <f>子2!$Q71</f>
        <v>15.674999999999994</v>
      </c>
      <c r="CB49" s="283">
        <f>子3!$Q71</f>
        <v>0</v>
      </c>
      <c r="CC49" s="283">
        <f>子4!$Q71</f>
        <v>0</v>
      </c>
      <c r="CE49" s="290"/>
      <c r="CF49" s="286"/>
      <c r="CG49" s="282" t="s">
        <v>460</v>
      </c>
      <c r="CH49" s="283">
        <f>SUM(INDEX(サマリ!$L$1:$L$70,$AQ$48+1):INDEX(サマリ!$L$1:$L$70,$AQ$49))</f>
        <v>547.64854639999999</v>
      </c>
      <c r="CJ49" s="290"/>
      <c r="CK49" s="286"/>
      <c r="CL49" s="282" t="s">
        <v>466</v>
      </c>
      <c r="CM49" s="283">
        <f>SUM(INDEX(サマリ!$AI$1:$AI$70,6):INDEX(サマリ!$AI$1:$AI$70,$AQ$49))-CM45</f>
        <v>0</v>
      </c>
      <c r="CO49" s="290"/>
      <c r="CP49" s="286"/>
      <c r="CQ49" s="284" t="s">
        <v>471</v>
      </c>
      <c r="CR49" s="283">
        <f>SUM(INDEX(サマリ!$AF$1:$AF$70,6):INDEX(サマリ!$AF$1:$AF$70,$AQ$49))-CR45</f>
        <v>316</v>
      </c>
      <c r="CT49" s="290"/>
      <c r="CU49" s="286"/>
      <c r="CV49" s="282" t="s">
        <v>42</v>
      </c>
      <c r="CW49" s="283">
        <f>SUM(INDEX(親1!$R$1:$R$70,6):INDEX(親1!$R$1:$R$70,$AQ$48))</f>
        <v>504</v>
      </c>
      <c r="CX49" s="283">
        <f>SUM(INDEX(親2!$R$1:$R$70,6):INDEX(親2!$R$1:$R$70,$AQ$48))</f>
        <v>0</v>
      </c>
      <c r="CY49" s="283">
        <f>SUM(INDEX(子1!$R$1:$R$70,6):INDEX(子1!$R$1:$R$70,$AQ$48))</f>
        <v>0</v>
      </c>
      <c r="CZ49" s="283">
        <f>SUM(INDEX(子2!$R$1:$R$70,6):INDEX(子2!$R$1:$R$70,$AQ$48))</f>
        <v>0</v>
      </c>
      <c r="DA49" s="283">
        <f>SUM(INDEX(子3!$R$1:$R$70,6):INDEX(子3!$R$1:$R$70,$AQ$48))</f>
        <v>0</v>
      </c>
      <c r="DB49" s="283">
        <f>SUM(INDEX(子4!$R$1:$R$70,6):INDEX(子4!$R$1:$R$70,$AQ$48))</f>
        <v>0</v>
      </c>
      <c r="DG49"/>
    </row>
    <row r="50" spans="2:111" outlineLevel="1" x14ac:dyDescent="0.25">
      <c r="B50" s="251"/>
      <c r="C50" s="249"/>
      <c r="D50" s="249"/>
      <c r="E50" s="249"/>
      <c r="F50" s="249"/>
      <c r="G50" s="249"/>
      <c r="H50" s="249"/>
      <c r="I50" s="249"/>
      <c r="J50" s="249"/>
      <c r="K50" s="249"/>
      <c r="L50" s="250"/>
      <c r="M50" s="251"/>
      <c r="N50" s="249"/>
      <c r="O50" s="249"/>
      <c r="P50" s="249"/>
      <c r="Q50" s="249"/>
      <c r="R50" s="249"/>
      <c r="S50" s="249"/>
      <c r="T50" s="250"/>
      <c r="U50" s="249"/>
      <c r="V50" s="249"/>
      <c r="W50" s="249"/>
      <c r="X50" s="249"/>
      <c r="Y50" s="249"/>
      <c r="Z50" s="249"/>
      <c r="AA50" s="249"/>
      <c r="AB50" s="249"/>
      <c r="AC50" s="249"/>
      <c r="AD50" s="249"/>
      <c r="AE50" s="249"/>
      <c r="AF50" s="249"/>
      <c r="AG50" s="249"/>
      <c r="AH50" s="249"/>
      <c r="AI50" s="249"/>
      <c r="AJ50" s="249"/>
      <c r="AK50" s="249"/>
      <c r="AL50" s="249"/>
      <c r="AM50" s="250"/>
      <c r="AS50" s="86" t="s">
        <v>252</v>
      </c>
      <c r="AT50" s="112">
        <f>SUM(INDEX(住居!$D$1:$D$70,6):INDEX(住居!$D$1:$D$70,$AQ$48))</f>
        <v>0</v>
      </c>
      <c r="AU50" s="112">
        <f>SUM(INDEX(住居!$J$1:$J$70,6):INDEX(住居!$J$1:$J$70,$AQ$48))</f>
        <v>0</v>
      </c>
      <c r="AV50" s="112">
        <f>SUM(INDEX(住居!$T$1:$T$70,6):INDEX(住居!$T$1:$T$70,$AQ$48))</f>
        <v>5833.4314301638624</v>
      </c>
      <c r="AW50" s="112">
        <f>SUM(INDEX(住居!$AC$1:$AC$70,6):INDEX(住居!$AC$1:$AC$70,$AQ$48))</f>
        <v>0</v>
      </c>
      <c r="AX50" s="112">
        <f>SUM(INDEX(住居!$AK$1:$AK$70,6):INDEX(住居!$AK$1:$AK$70,$AQ$48))</f>
        <v>554</v>
      </c>
      <c r="AY50" s="118">
        <f>SUM(INDEX(住居!$AL$1:$AL$70,6):INDEX(住居!$AL$1:$AL$70,$AQ$48))</f>
        <v>-6387.4314301638624</v>
      </c>
      <c r="BD50" s="290"/>
      <c r="BE50" s="286"/>
      <c r="BF50" s="282" t="s">
        <v>42</v>
      </c>
      <c r="BG50" s="283">
        <f>SUM(INDEX(親1!$R$1:$R$70,6):INDEX(親1!$R$1:$R$70,$AQ$48))</f>
        <v>504</v>
      </c>
      <c r="BH50" s="283">
        <f>SUM(INDEX(親2!$R$1:$R$70,6):INDEX(親2!$R$1:$R$70,$AQ$48))</f>
        <v>0</v>
      </c>
      <c r="BI50" s="283">
        <f t="shared" si="11"/>
        <v>504</v>
      </c>
      <c r="BK50" s="304" t="s">
        <v>516</v>
      </c>
      <c r="BL50" s="305"/>
      <c r="BM50" s="321">
        <f t="shared" ref="BM50" si="14">BM48-BM49</f>
        <v>72.836874118669243</v>
      </c>
      <c r="BN50" s="321">
        <f>BN48-BN49</f>
        <v>52.694433284273288</v>
      </c>
      <c r="BO50" s="321">
        <f>BO48-BO49</f>
        <v>20.142440834395956</v>
      </c>
      <c r="BQ50" s="290"/>
      <c r="BR50" s="286"/>
      <c r="BS50" s="282" t="s">
        <v>42</v>
      </c>
      <c r="BT50" s="283">
        <f>SUM(INDEX(親1!$R$1:$R$70,$AQ$49):INDEX(親1!$R$1:$R$70,$AQ$49))</f>
        <v>0</v>
      </c>
      <c r="BU50" s="283">
        <f>SUM(INDEX(親2!$R$1:$R$70,$AQ$49):INDEX(親2!$R$1:$R$70,$AQ$49))</f>
        <v>0</v>
      </c>
      <c r="BW50" s="290"/>
      <c r="BX50" s="286"/>
      <c r="BY50" s="282" t="s">
        <v>42</v>
      </c>
      <c r="BZ50" s="283"/>
      <c r="CA50" s="283"/>
      <c r="CB50" s="283"/>
      <c r="CC50" s="283"/>
      <c r="CE50" s="290"/>
      <c r="CF50" s="286"/>
      <c r="CG50" s="282" t="s">
        <v>461</v>
      </c>
      <c r="CH50" s="283">
        <f>SUM(INDEX(サマリ!$AF$1:$AF$70,$AQ$48+1):INDEX(サマリ!$AF$1:$AF$70,$AQ$49))</f>
        <v>316</v>
      </c>
      <c r="CJ50" s="290"/>
      <c r="CK50" s="286"/>
      <c r="CL50" s="282" t="s">
        <v>467</v>
      </c>
      <c r="CM50" s="283">
        <f>SUM(INDEX(サマリ!$AJ$1:$AJ$70,6):INDEX(サマリ!$AJ$1:$AJ$70,$AQ$49))-CM46</f>
        <v>311.25</v>
      </c>
      <c r="CO50" s="290"/>
      <c r="CP50" s="286"/>
      <c r="CQ50" s="282"/>
      <c r="CR50" s="283"/>
      <c r="CT50" s="290"/>
      <c r="CU50" s="286"/>
      <c r="CV50" s="282"/>
      <c r="CW50" s="283"/>
      <c r="CX50" s="283"/>
      <c r="CY50" s="283"/>
      <c r="CZ50" s="283"/>
      <c r="DA50" s="283"/>
      <c r="DB50" s="283"/>
      <c r="DG50"/>
    </row>
    <row r="51" spans="2:111" outlineLevel="1" x14ac:dyDescent="0.25">
      <c r="B51" s="251"/>
      <c r="C51" s="249"/>
      <c r="D51" s="249"/>
      <c r="E51" s="249"/>
      <c r="F51" s="249"/>
      <c r="G51" s="249"/>
      <c r="H51" s="249"/>
      <c r="I51" s="249"/>
      <c r="J51" s="249"/>
      <c r="K51" s="249"/>
      <c r="L51" s="250"/>
      <c r="M51" s="251"/>
      <c r="N51" s="249"/>
      <c r="O51" s="249"/>
      <c r="P51" s="249"/>
      <c r="Q51" s="249"/>
      <c r="R51" s="249"/>
      <c r="S51" s="249"/>
      <c r="T51" s="250"/>
      <c r="U51" s="249"/>
      <c r="V51" s="249"/>
      <c r="W51" s="249"/>
      <c r="X51" s="249"/>
      <c r="Y51" s="249"/>
      <c r="Z51" s="249"/>
      <c r="AA51" s="249"/>
      <c r="AB51" s="249"/>
      <c r="AC51" s="249"/>
      <c r="AD51" s="249"/>
      <c r="AE51" s="249"/>
      <c r="AF51" s="249"/>
      <c r="AG51" s="249"/>
      <c r="AH51" s="249"/>
      <c r="AI51" s="249"/>
      <c r="AJ51" s="249"/>
      <c r="AK51" s="249"/>
      <c r="AL51" s="249"/>
      <c r="AM51" s="250"/>
      <c r="AS51" s="86" t="s">
        <v>253</v>
      </c>
      <c r="AT51" s="112">
        <f>SUM(INDEX(車_大物家電!$D$1:$D$70,6):INDEX(車_大物家電!$D$1:$D$70,$AQ$48))</f>
        <v>0</v>
      </c>
      <c r="AU51" s="112">
        <f>SUM(INDEX(車_大物家電!$J$1:$J$70,6):INDEX(車_大物家電!$J$1:$J$70,$AQ$48))</f>
        <v>0</v>
      </c>
      <c r="AV51" s="112">
        <f>SUM(INDEX(車_大物家電!$T$1:$T$70,6):INDEX(車_大物家電!$T$1:$T$70,$AQ$48))</f>
        <v>0</v>
      </c>
      <c r="AW51" s="112">
        <f>SUM(INDEX(車_大物家電!$AC$1:$AC$70,6):INDEX(車_大物家電!$AC$1:$AC$70,$AQ$48))</f>
        <v>0</v>
      </c>
      <c r="AX51" s="112">
        <f>SUM(INDEX(車_大物家電!$AK$1:$AK$70,6):INDEX(車_大物家電!$AK$1:$AK$70,$AQ$48))</f>
        <v>2946</v>
      </c>
      <c r="AY51" s="118">
        <f>SUM(INDEX(車_大物家電!$AL$1:$AL$70,6):INDEX(車_大物家電!$AL$1:$AL$70,$AQ$48))</f>
        <v>-2946</v>
      </c>
      <c r="BD51" s="290"/>
      <c r="BE51" s="287" t="s">
        <v>440</v>
      </c>
      <c r="BF51" s="288"/>
      <c r="BG51" s="39">
        <f>SUM(BG45:BG50)</f>
        <v>3192.8400000000011</v>
      </c>
      <c r="BH51" s="39">
        <f>SUM(BH45:BH50)</f>
        <v>2370.0600000000013</v>
      </c>
      <c r="BI51" s="39">
        <f t="shared" si="11"/>
        <v>5562.9000000000024</v>
      </c>
      <c r="BK51" s="291" t="s">
        <v>253</v>
      </c>
      <c r="BL51" s="292"/>
      <c r="BM51" s="293">
        <f>CM51/15</f>
        <v>54.083333333333336</v>
      </c>
      <c r="BQ51" s="290"/>
      <c r="BR51" s="287" t="s">
        <v>440</v>
      </c>
      <c r="BS51" s="288"/>
      <c r="BT51" s="39">
        <f>SUM(BT45:BT50)</f>
        <v>64.02000000000001</v>
      </c>
      <c r="BU51" s="39">
        <f>SUM(BU45:BU50)</f>
        <v>56.430000000000007</v>
      </c>
      <c r="BW51" s="290"/>
      <c r="BX51" s="287" t="s">
        <v>482</v>
      </c>
      <c r="BY51" s="288"/>
      <c r="BZ51" s="39">
        <f>SUM(BZ45:BZ50)</f>
        <v>648.94499999999982</v>
      </c>
      <c r="CA51" s="39">
        <f>SUM(CA45:CA50)</f>
        <v>536.08499999999981</v>
      </c>
      <c r="CB51" s="39">
        <f>SUM(CB45:CB50)</f>
        <v>0</v>
      </c>
      <c r="CC51" s="39">
        <f>SUM(CC45:CC50)</f>
        <v>0</v>
      </c>
      <c r="CE51" s="290"/>
      <c r="CF51" s="287" t="s">
        <v>462</v>
      </c>
      <c r="CG51" s="288"/>
      <c r="CH51" s="39">
        <f>SUM(CH48:CH50)</f>
        <v>1219.3285270602637</v>
      </c>
      <c r="CJ51" s="290"/>
      <c r="CK51" s="287" t="s">
        <v>468</v>
      </c>
      <c r="CL51" s="288"/>
      <c r="CM51" s="39">
        <f>SUM(CM48:CM50)</f>
        <v>811.25</v>
      </c>
      <c r="CO51" s="290"/>
      <c r="CP51" s="287" t="s">
        <v>468</v>
      </c>
      <c r="CQ51" s="288"/>
      <c r="CR51" s="39">
        <f>SUM(CR48:CR50)</f>
        <v>433</v>
      </c>
      <c r="CT51" s="290"/>
      <c r="CU51" s="287" t="s">
        <v>476</v>
      </c>
      <c r="CV51" s="288"/>
      <c r="CW51" s="40">
        <f>SUM(CW44:CW50)</f>
        <v>3192.8400000000011</v>
      </c>
      <c r="CX51" s="40">
        <f t="shared" ref="CX51:DB51" si="15">SUM(CX44:CX50)</f>
        <v>2370.0600000000013</v>
      </c>
      <c r="CY51" s="40">
        <f t="shared" si="15"/>
        <v>648.94499999999982</v>
      </c>
      <c r="CZ51" s="40">
        <f t="shared" si="15"/>
        <v>536.08499999999981</v>
      </c>
      <c r="DA51" s="40">
        <f t="shared" si="15"/>
        <v>0</v>
      </c>
      <c r="DB51" s="40">
        <f t="shared" si="15"/>
        <v>0</v>
      </c>
      <c r="DG51"/>
    </row>
    <row r="52" spans="2:111" outlineLevel="1" x14ac:dyDescent="0.25">
      <c r="B52" s="251"/>
      <c r="C52" s="249"/>
      <c r="D52" s="249"/>
      <c r="E52" s="249"/>
      <c r="F52" s="249"/>
      <c r="G52" s="249"/>
      <c r="H52" s="249"/>
      <c r="I52" s="249"/>
      <c r="J52" s="249"/>
      <c r="K52" s="249"/>
      <c r="L52" s="250"/>
      <c r="M52" s="251"/>
      <c r="N52" s="249"/>
      <c r="O52" s="249"/>
      <c r="P52" s="249"/>
      <c r="Q52" s="249"/>
      <c r="R52" s="249"/>
      <c r="S52" s="249"/>
      <c r="T52" s="250"/>
      <c r="U52" s="249"/>
      <c r="V52" s="249"/>
      <c r="W52" s="249"/>
      <c r="X52" s="249"/>
      <c r="Y52" s="249"/>
      <c r="Z52" s="249"/>
      <c r="AA52" s="249"/>
      <c r="AB52" s="249"/>
      <c r="AC52" s="249"/>
      <c r="AD52" s="249"/>
      <c r="AE52" s="249"/>
      <c r="AF52" s="249"/>
      <c r="AG52" s="249"/>
      <c r="AH52" s="249"/>
      <c r="AI52" s="249"/>
      <c r="AJ52" s="249"/>
      <c r="AK52" s="249"/>
      <c r="AL52" s="249"/>
      <c r="AM52" s="250"/>
      <c r="AS52" s="86" t="s">
        <v>310</v>
      </c>
      <c r="AT52" s="86"/>
      <c r="AU52" s="86"/>
      <c r="AV52" s="86"/>
      <c r="AW52" s="86"/>
      <c r="AX52" s="86"/>
      <c r="AY52" s="86">
        <f>サマリ!AM5</f>
        <v>0</v>
      </c>
      <c r="BD52" s="290"/>
      <c r="BE52" s="286"/>
      <c r="BF52" s="282" t="s">
        <v>448</v>
      </c>
      <c r="BG52" s="283">
        <f>SUM(INDEX(親1!$V$1:$V$70,6):INDEX(親1!$V$1:$V$70,$AQ$48))</f>
        <v>252</v>
      </c>
      <c r="BH52" s="283">
        <f>SUM(INDEX(親2!$V$1:$V$70,6):INDEX(親2!$V$1:$V$70,$AQ$48))</f>
        <v>0</v>
      </c>
      <c r="BI52" s="283">
        <f t="shared" si="11"/>
        <v>252</v>
      </c>
      <c r="BK52" s="291" t="s">
        <v>514</v>
      </c>
      <c r="BL52" s="292"/>
      <c r="BM52" s="293">
        <f>CR51/15</f>
        <v>28.866666666666667</v>
      </c>
      <c r="BQ52" s="290"/>
      <c r="BR52" s="286"/>
      <c r="BS52" s="282" t="s">
        <v>448</v>
      </c>
      <c r="BT52" s="283">
        <f>SUM(INDEX(親1!$V$1:$V$70,$AQ$49):INDEX(親1!$V$1:$V$70,$AQ$49))</f>
        <v>6</v>
      </c>
      <c r="BU52" s="283">
        <f>SUM(INDEX(親2!$V$1:$V$70,$AQ$49):INDEX(親2!$V$1:$V$70,$AQ$49))</f>
        <v>0</v>
      </c>
      <c r="BW52" s="290"/>
      <c r="BX52" s="286"/>
      <c r="BY52" s="282" t="s">
        <v>28</v>
      </c>
      <c r="BZ52" s="283">
        <f>子1!$W71</f>
        <v>31.199999999999996</v>
      </c>
      <c r="CA52" s="283">
        <f>子2!$W71</f>
        <v>21.6</v>
      </c>
      <c r="CB52" s="283">
        <f>子3!$W71</f>
        <v>0</v>
      </c>
      <c r="CC52" s="283">
        <f>子4!$W71</f>
        <v>0</v>
      </c>
      <c r="CE52" s="308" t="s">
        <v>435</v>
      </c>
      <c r="CF52" s="309"/>
      <c r="CG52" s="309"/>
      <c r="CH52" s="310">
        <f>SUM(CH47,CH51)</f>
        <v>7606.7599572241279</v>
      </c>
      <c r="CJ52" s="308" t="s">
        <v>435</v>
      </c>
      <c r="CK52" s="309"/>
      <c r="CL52" s="309"/>
      <c r="CM52" s="310">
        <f>SUM(CM47,CM51)</f>
        <v>3514.25</v>
      </c>
      <c r="CO52" s="308" t="s">
        <v>435</v>
      </c>
      <c r="CP52" s="309"/>
      <c r="CQ52" s="309"/>
      <c r="CR52" s="310">
        <f>SUM(CR47,CR51)</f>
        <v>1230</v>
      </c>
      <c r="CT52" s="290"/>
      <c r="CU52" s="286"/>
      <c r="CV52" s="282" t="s">
        <v>474</v>
      </c>
      <c r="CW52" s="283">
        <f>SUM(INDEX(親1!$V$1:$V$70,6):INDEX(親1!$V$1:$V$70,$AQ$48))</f>
        <v>252</v>
      </c>
      <c r="CX52" s="283">
        <f>SUM(INDEX(親2!$V$1:$V$70,6):INDEX(親2!$V$1:$V$70,$AQ$48))</f>
        <v>0</v>
      </c>
      <c r="CY52" s="283">
        <f>SUM(INDEX(子1!$V$1:$V$70,6):INDEX(子1!$V$1:$V$70,$AQ$48))</f>
        <v>0</v>
      </c>
      <c r="CZ52" s="283">
        <f>SUM(INDEX(子2!$V$1:$V$70,6):INDEX(子2!$V$1:$V$70,$AQ$48))</f>
        <v>0</v>
      </c>
      <c r="DA52" s="283">
        <f>SUM(INDEX(子3!$V$1:$V$70,6):INDEX(子3!$V$1:$V$70,$AQ$48))</f>
        <v>0</v>
      </c>
      <c r="DB52" s="283">
        <f>SUM(INDEX(子4!$V$1:$V$70,6):INDEX(子4!$V$1:$V$70,$AQ$48))</f>
        <v>0</v>
      </c>
      <c r="DG52"/>
    </row>
    <row r="53" spans="2:111" outlineLevel="1" x14ac:dyDescent="0.25">
      <c r="B53" s="251"/>
      <c r="C53" s="249"/>
      <c r="D53" s="249"/>
      <c r="E53" s="249"/>
      <c r="F53" s="249"/>
      <c r="G53" s="249"/>
      <c r="H53" s="249"/>
      <c r="I53" s="249"/>
      <c r="J53" s="249"/>
      <c r="K53" s="249"/>
      <c r="L53" s="250"/>
      <c r="M53" s="251"/>
      <c r="N53" s="249"/>
      <c r="O53" s="249"/>
      <c r="P53" s="249"/>
      <c r="Q53" s="249"/>
      <c r="R53" s="249"/>
      <c r="S53" s="249"/>
      <c r="T53" s="250"/>
      <c r="U53" s="249"/>
      <c r="V53" s="249"/>
      <c r="W53" s="249"/>
      <c r="X53" s="249"/>
      <c r="Y53" s="249"/>
      <c r="Z53" s="249"/>
      <c r="AA53" s="249"/>
      <c r="AB53" s="249"/>
      <c r="AC53" s="249"/>
      <c r="AD53" s="249"/>
      <c r="AE53" s="249"/>
      <c r="AF53" s="249"/>
      <c r="AG53" s="249"/>
      <c r="AH53" s="249"/>
      <c r="AI53" s="249"/>
      <c r="AJ53" s="249"/>
      <c r="AK53" s="249"/>
      <c r="AL53" s="249"/>
      <c r="AM53" s="250"/>
      <c r="AS53" s="86" t="s">
        <v>293</v>
      </c>
      <c r="AT53" s="118">
        <f t="shared" ref="AT53:AY53" si="16">SUM(AT44:AT52)</f>
        <v>26938.426773136678</v>
      </c>
      <c r="AU53" s="118">
        <f t="shared" si="16"/>
        <v>20959.034976000003</v>
      </c>
      <c r="AV53" s="118">
        <f t="shared" si="16"/>
        <v>12581.361430163863</v>
      </c>
      <c r="AW53" s="118">
        <f t="shared" si="16"/>
        <v>2547.1308999999997</v>
      </c>
      <c r="AX53" s="118">
        <f t="shared" si="16"/>
        <v>5744</v>
      </c>
      <c r="AY53" s="118">
        <f t="shared" si="16"/>
        <v>86.542645836138036</v>
      </c>
      <c r="BD53" s="290"/>
      <c r="BE53" s="286"/>
      <c r="BF53" s="282" t="s">
        <v>449</v>
      </c>
      <c r="BG53" s="283">
        <f>SUM(INDEX(親1!$W$1:$W$70,6):INDEX(親1!$W$1:$W$70,$AQ$48))</f>
        <v>100.80000000000007</v>
      </c>
      <c r="BH53" s="283">
        <f>SUM(INDEX(親2!$W$1:$W$70,6):INDEX(親2!$W$1:$W$70,$AQ$48))</f>
        <v>100.80000000000007</v>
      </c>
      <c r="BI53" s="283">
        <f t="shared" si="11"/>
        <v>201.60000000000014</v>
      </c>
      <c r="BK53" s="304" t="s">
        <v>515</v>
      </c>
      <c r="BL53" s="305"/>
      <c r="BM53" s="321">
        <f>BM50-SUM(BM51:BM52)</f>
        <v>-10.11312588133076</v>
      </c>
      <c r="BQ53" s="290"/>
      <c r="BR53" s="286"/>
      <c r="BS53" s="282" t="s">
        <v>449</v>
      </c>
      <c r="BT53" s="283">
        <f>SUM(INDEX(親1!$W$1:$W$70,$AQ$49):INDEX(親1!$W$1:$W$70,$AQ$49))</f>
        <v>2.4000000000000004</v>
      </c>
      <c r="BU53" s="283">
        <f>SUM(INDEX(親2!$W$1:$W$70,$AQ$49):INDEX(親2!$W$1:$W$70,$AQ$49))</f>
        <v>2.4000000000000004</v>
      </c>
      <c r="BW53" s="290"/>
      <c r="BX53" s="286"/>
      <c r="BY53" s="282" t="s">
        <v>169</v>
      </c>
      <c r="BZ53" s="283">
        <f>子1!$X71</f>
        <v>72</v>
      </c>
      <c r="CA53" s="283">
        <f>子2!$X71</f>
        <v>72</v>
      </c>
      <c r="CB53" s="283">
        <f>子3!$X71</f>
        <v>0</v>
      </c>
      <c r="CC53" s="283">
        <f>子4!$X71</f>
        <v>0</v>
      </c>
      <c r="CT53" s="290"/>
      <c r="CU53" s="286"/>
      <c r="CV53" s="282" t="s">
        <v>473</v>
      </c>
      <c r="CW53" s="283">
        <f>SUM(INDEX(親1!$W$1:$W$70,6):INDEX(親1!$W$1:$W$70,$AQ$48))</f>
        <v>100.80000000000007</v>
      </c>
      <c r="CX53" s="283">
        <f>SUM(INDEX(親2!$W$1:$W$70,6):INDEX(親2!$W$1:$W$70,$AQ$48))</f>
        <v>100.80000000000007</v>
      </c>
      <c r="CY53" s="283">
        <f>SUM(INDEX(子1!$W$1:$W$70,6):INDEX(子1!$W$1:$W$70,$AQ$48))</f>
        <v>31.199999999999996</v>
      </c>
      <c r="CZ53" s="283">
        <f>SUM(INDEX(子2!$W$1:$W$70,6):INDEX(子2!$W$1:$W$70,$AQ$48))</f>
        <v>21.6</v>
      </c>
      <c r="DA53" s="283">
        <f>SUM(INDEX(子3!$W$1:$W$70,6):INDEX(子3!$W$1:$W$70,$AQ$48))</f>
        <v>0</v>
      </c>
      <c r="DB53" s="283">
        <f>SUM(INDEX(子4!$W$1:$W$70,6):INDEX(子4!$W$1:$W$70,$AQ$48))</f>
        <v>0</v>
      </c>
      <c r="DG53"/>
    </row>
    <row r="54" spans="2:111" outlineLevel="1" x14ac:dyDescent="0.25">
      <c r="B54" s="251"/>
      <c r="C54" s="249"/>
      <c r="D54" s="249"/>
      <c r="E54" s="249"/>
      <c r="F54" s="249"/>
      <c r="G54" s="249"/>
      <c r="H54" s="249"/>
      <c r="I54" s="249"/>
      <c r="J54" s="249"/>
      <c r="K54" s="249"/>
      <c r="L54" s="250"/>
      <c r="M54" s="251"/>
      <c r="N54" s="249"/>
      <c r="O54" s="249"/>
      <c r="P54" s="249"/>
      <c r="Q54" s="249"/>
      <c r="R54" s="249"/>
      <c r="S54" s="249"/>
      <c r="T54" s="250"/>
      <c r="U54" s="249"/>
      <c r="V54" s="249"/>
      <c r="W54" s="249"/>
      <c r="X54" s="249"/>
      <c r="Y54" s="249"/>
      <c r="Z54" s="249"/>
      <c r="AA54" s="249"/>
      <c r="AB54" s="249"/>
      <c r="AC54" s="249"/>
      <c r="AD54" s="249"/>
      <c r="AE54" s="249"/>
      <c r="AF54" s="249"/>
      <c r="AG54" s="249"/>
      <c r="AH54" s="249"/>
      <c r="AI54" s="249"/>
      <c r="AJ54" s="249"/>
      <c r="AK54" s="249"/>
      <c r="AL54" s="249"/>
      <c r="AM54" s="250"/>
      <c r="BD54" s="290"/>
      <c r="BE54" s="286"/>
      <c r="BF54" s="282" t="s">
        <v>162</v>
      </c>
      <c r="BG54" s="283">
        <f>SUM(INDEX(親1!$AE$1:$AE$70,6):INDEX(親1!$AE$1:$AE$70,$AQ$48))</f>
        <v>1512</v>
      </c>
      <c r="BH54" s="283">
        <f>SUM(INDEX(親2!$AE$1:$AE$70,6):INDEX(親2!$AE$1:$AE$70,$AQ$48))</f>
        <v>504</v>
      </c>
      <c r="BI54" s="283">
        <f t="shared" si="11"/>
        <v>2016</v>
      </c>
      <c r="BK54" s="1" t="s">
        <v>517</v>
      </c>
      <c r="BQ54" s="290"/>
      <c r="BR54" s="286"/>
      <c r="BS54" s="282" t="s">
        <v>162</v>
      </c>
      <c r="BT54" s="283">
        <f>SUM(INDEX(親1!$AE$1:$AE$70,$AQ$49):INDEX(親1!$AE$1:$AE$70,$AQ$49))</f>
        <v>36</v>
      </c>
      <c r="BU54" s="283">
        <f>SUM(INDEX(親2!$AE$1:$AE$70,$AQ$49):INDEX(親2!$AE$1:$AE$70,$AQ$49))</f>
        <v>12</v>
      </c>
      <c r="BW54" s="290"/>
      <c r="BX54" s="286"/>
      <c r="BY54" s="282" t="s">
        <v>168</v>
      </c>
      <c r="BZ54" s="283">
        <f>子1!$Y71</f>
        <v>144</v>
      </c>
      <c r="CA54" s="283">
        <f>子2!$Y71</f>
        <v>144</v>
      </c>
      <c r="CB54" s="283">
        <f>子3!$Y71</f>
        <v>0</v>
      </c>
      <c r="CC54" s="283">
        <f>子4!$Y71</f>
        <v>0</v>
      </c>
      <c r="CT54" s="290"/>
      <c r="CU54" s="287" t="s">
        <v>477</v>
      </c>
      <c r="CV54" s="288"/>
      <c r="CW54" s="39">
        <f t="shared" ref="CW54:CX54" si="17">SUM(CW52:CW53)</f>
        <v>352.80000000000007</v>
      </c>
      <c r="CX54" s="39">
        <f t="shared" si="17"/>
        <v>100.80000000000007</v>
      </c>
      <c r="CY54" s="39">
        <f>SUM(CY52:CY53)</f>
        <v>31.199999999999996</v>
      </c>
      <c r="CZ54" s="39">
        <f t="shared" ref="CZ54:DB54" si="18">SUM(CZ52:CZ53)</f>
        <v>21.6</v>
      </c>
      <c r="DA54" s="39">
        <f t="shared" si="18"/>
        <v>0</v>
      </c>
      <c r="DB54" s="39">
        <f t="shared" si="18"/>
        <v>0</v>
      </c>
      <c r="DG54"/>
    </row>
    <row r="55" spans="2:111" outlineLevel="1" x14ac:dyDescent="0.25">
      <c r="B55" s="251"/>
      <c r="C55" s="249"/>
      <c r="D55" s="249"/>
      <c r="E55" s="249"/>
      <c r="F55" s="249"/>
      <c r="G55" s="249"/>
      <c r="H55" s="249"/>
      <c r="I55" s="249"/>
      <c r="J55" s="249"/>
      <c r="K55" s="249"/>
      <c r="L55" s="250"/>
      <c r="M55" s="251"/>
      <c r="N55" s="249"/>
      <c r="O55" s="249"/>
      <c r="P55" s="249"/>
      <c r="Q55" s="249"/>
      <c r="R55" s="249"/>
      <c r="S55" s="249"/>
      <c r="T55" s="250"/>
      <c r="U55" s="249"/>
      <c r="V55" s="249"/>
      <c r="W55" s="249"/>
      <c r="X55" s="249"/>
      <c r="Y55" s="249"/>
      <c r="Z55" s="249"/>
      <c r="AA55" s="249"/>
      <c r="AB55" s="249"/>
      <c r="AC55" s="249"/>
      <c r="AD55" s="249"/>
      <c r="AE55" s="249"/>
      <c r="AF55" s="249"/>
      <c r="AG55" s="249"/>
      <c r="AH55" s="249"/>
      <c r="AI55" s="249"/>
      <c r="AJ55" s="249"/>
      <c r="AK55" s="249"/>
      <c r="AL55" s="249"/>
      <c r="AM55" s="250"/>
      <c r="BD55" s="290"/>
      <c r="BE55" s="286"/>
      <c r="BF55" s="282"/>
      <c r="BG55" s="283"/>
      <c r="BH55" s="283"/>
      <c r="BI55" s="283">
        <f t="shared" si="11"/>
        <v>0</v>
      </c>
      <c r="BQ55" s="290"/>
      <c r="BR55" s="286"/>
      <c r="BS55" s="282"/>
      <c r="BT55" s="283"/>
      <c r="BU55" s="283"/>
      <c r="BW55" s="290"/>
      <c r="BX55" s="286"/>
      <c r="BY55" s="282" t="s">
        <v>171</v>
      </c>
      <c r="BZ55" s="283">
        <f>子1!$Z71</f>
        <v>538.96289999999999</v>
      </c>
      <c r="CA55" s="283">
        <f>子2!$Z71</f>
        <v>637.76799999999992</v>
      </c>
      <c r="CB55" s="283">
        <f>子3!$Z71</f>
        <v>0</v>
      </c>
      <c r="CC55" s="283">
        <f>子4!$Z71</f>
        <v>0</v>
      </c>
      <c r="CT55" s="308" t="s">
        <v>518</v>
      </c>
      <c r="CU55" s="309"/>
      <c r="CV55" s="309"/>
      <c r="CW55" s="293">
        <f>SUM(CW51,CW54)</f>
        <v>3545.6400000000012</v>
      </c>
      <c r="CX55" s="293">
        <f t="shared" ref="CX55:DB55" si="19">SUM(CX51,CX54)</f>
        <v>2470.8600000000015</v>
      </c>
      <c r="CY55" s="293">
        <f t="shared" si="19"/>
        <v>680.14499999999987</v>
      </c>
      <c r="CZ55" s="293">
        <f t="shared" si="19"/>
        <v>557.68499999999983</v>
      </c>
      <c r="DA55" s="293">
        <f t="shared" si="19"/>
        <v>0</v>
      </c>
      <c r="DB55" s="293">
        <f t="shared" si="19"/>
        <v>0</v>
      </c>
      <c r="DG55"/>
    </row>
    <row r="56" spans="2:111" outlineLevel="1" x14ac:dyDescent="0.25">
      <c r="B56" s="251"/>
      <c r="C56" s="249"/>
      <c r="D56" s="249"/>
      <c r="E56" s="249"/>
      <c r="F56" s="249"/>
      <c r="G56" s="249"/>
      <c r="H56" s="249"/>
      <c r="I56" s="249"/>
      <c r="J56" s="249"/>
      <c r="K56" s="249"/>
      <c r="L56" s="250"/>
      <c r="M56" s="251"/>
      <c r="N56" s="249"/>
      <c r="O56" s="249"/>
      <c r="P56" s="249"/>
      <c r="Q56" s="249"/>
      <c r="R56" s="249"/>
      <c r="S56" s="249"/>
      <c r="T56" s="250"/>
      <c r="U56" s="249"/>
      <c r="V56" s="249"/>
      <c r="W56" s="249"/>
      <c r="X56" s="249"/>
      <c r="Y56" s="249"/>
      <c r="Z56" s="249"/>
      <c r="AA56" s="249"/>
      <c r="AB56" s="249"/>
      <c r="AC56" s="249"/>
      <c r="AD56" s="249"/>
      <c r="AE56" s="249"/>
      <c r="AF56" s="249"/>
      <c r="AG56" s="249"/>
      <c r="AH56" s="249"/>
      <c r="AI56" s="249"/>
      <c r="AJ56" s="249"/>
      <c r="AK56" s="249"/>
      <c r="AL56" s="249"/>
      <c r="AM56" s="250"/>
      <c r="BD56" s="290"/>
      <c r="BE56" s="287" t="s">
        <v>440</v>
      </c>
      <c r="BF56" s="288"/>
      <c r="BG56" s="39">
        <f>SUM(BG52:BG55)</f>
        <v>1864.8000000000002</v>
      </c>
      <c r="BH56" s="39">
        <f>SUM(BH52:BH55)</f>
        <v>604.80000000000007</v>
      </c>
      <c r="BI56" s="39">
        <f t="shared" si="11"/>
        <v>2469.6000000000004</v>
      </c>
      <c r="BK56" s="356" t="s">
        <v>522</v>
      </c>
      <c r="BQ56" s="290"/>
      <c r="BR56" s="287" t="s">
        <v>440</v>
      </c>
      <c r="BS56" s="288"/>
      <c r="BT56" s="39">
        <f>SUM(BT52:BT55)</f>
        <v>44.4</v>
      </c>
      <c r="BU56" s="39">
        <f>SUM(BU52:BU55)</f>
        <v>14.4</v>
      </c>
      <c r="BW56" s="290"/>
      <c r="BX56" s="286"/>
      <c r="BY56" s="282" t="s">
        <v>445</v>
      </c>
      <c r="BZ56" s="283">
        <f>子1!$AA71</f>
        <v>0</v>
      </c>
      <c r="CA56" s="283">
        <f>子2!$AA71</f>
        <v>432</v>
      </c>
      <c r="CB56" s="283">
        <f>子3!$AA71</f>
        <v>0</v>
      </c>
      <c r="CC56" s="283">
        <f>子4!$AA71</f>
        <v>0</v>
      </c>
      <c r="CT56" s="290"/>
      <c r="CU56" s="287"/>
      <c r="CV56" s="288" t="s">
        <v>162</v>
      </c>
      <c r="CW56" s="39">
        <f>SUM(INDEX(親1!$AE$1:$AE$70,6):INDEX(親1!$AE$1:$AE$70,$AQ$48))</f>
        <v>1512</v>
      </c>
      <c r="CX56" s="39">
        <f>SUM(INDEX(親2!$AE$1:$AE$70,6):INDEX(親2!$AE$1:$AE$70,$AQ$48))</f>
        <v>504</v>
      </c>
      <c r="CY56" s="39">
        <f>SUM(INDEX(子1!$AE$1:$AE$70,6):INDEX(子1!$AE$1:$AE$70,$AQ$48))</f>
        <v>114</v>
      </c>
      <c r="CZ56" s="39">
        <f>SUM(INDEX(子2!$AE$1:$AE$70,6):INDEX(子2!$AE$1:$AE$70,$AQ$48))</f>
        <v>114</v>
      </c>
      <c r="DA56" s="39">
        <f>SUM(INDEX(子3!$AE$1:$AE$70,6):INDEX(子3!$AE$1:$AE$70,$AQ$48))</f>
        <v>0</v>
      </c>
      <c r="DB56" s="39">
        <f>SUM(INDEX(子4!$AE$1:$AE$70,6):INDEX(子4!$AE$1:$AE$70,$AQ$48))</f>
        <v>0</v>
      </c>
      <c r="DG56"/>
    </row>
    <row r="57" spans="2:111" outlineLevel="1" x14ac:dyDescent="0.25">
      <c r="B57" s="251"/>
      <c r="C57" s="249"/>
      <c r="D57" s="249"/>
      <c r="E57" s="249"/>
      <c r="F57" s="249"/>
      <c r="G57" s="249"/>
      <c r="H57" s="249"/>
      <c r="I57" s="249"/>
      <c r="J57" s="249"/>
      <c r="K57" s="249"/>
      <c r="L57" s="250"/>
      <c r="M57" s="251"/>
      <c r="N57" s="249"/>
      <c r="O57" s="249"/>
      <c r="P57" s="249"/>
      <c r="Q57" s="249"/>
      <c r="R57" s="249"/>
      <c r="S57" s="249"/>
      <c r="T57" s="250"/>
      <c r="U57" s="249"/>
      <c r="V57" s="249"/>
      <c r="W57" s="249"/>
      <c r="X57" s="249"/>
      <c r="Y57" s="354" t="s">
        <v>574</v>
      </c>
      <c r="Z57" s="249"/>
      <c r="AA57" s="249"/>
      <c r="AB57" s="249"/>
      <c r="AC57" s="249"/>
      <c r="AD57" s="249"/>
      <c r="AE57" s="249"/>
      <c r="AF57" s="249"/>
      <c r="AG57" s="249"/>
      <c r="AH57" s="249"/>
      <c r="AI57" s="249"/>
      <c r="AJ57" s="249"/>
      <c r="AK57" s="249"/>
      <c r="AL57" s="249"/>
      <c r="AM57" s="250"/>
      <c r="BD57" s="291" t="s">
        <v>435</v>
      </c>
      <c r="BE57" s="292"/>
      <c r="BF57" s="292"/>
      <c r="BG57" s="311">
        <f>SUM(BG51,BG56)</f>
        <v>5057.6400000000012</v>
      </c>
      <c r="BH57" s="311">
        <f>SUM(BH51,BH56)</f>
        <v>2974.8600000000015</v>
      </c>
      <c r="BI57" s="311">
        <f t="shared" si="11"/>
        <v>8032.5000000000027</v>
      </c>
      <c r="BK57" s="299" t="s">
        <v>521</v>
      </c>
      <c r="BL57" s="300"/>
      <c r="BM57" s="303" t="s">
        <v>35</v>
      </c>
      <c r="BQ57" s="291" t="s">
        <v>435</v>
      </c>
      <c r="BR57" s="292"/>
      <c r="BS57" s="292"/>
      <c r="BT57" s="311">
        <f>SUM(BT51,BT56)</f>
        <v>108.42000000000002</v>
      </c>
      <c r="BU57" s="311">
        <f>SUM(BU51,BU56)</f>
        <v>70.830000000000013</v>
      </c>
      <c r="BW57" s="290"/>
      <c r="BX57" s="286"/>
      <c r="BY57" s="282" t="s">
        <v>484</v>
      </c>
      <c r="BZ57" s="283">
        <f>子1!$AE71</f>
        <v>114</v>
      </c>
      <c r="CA57" s="283">
        <f>子2!$AE71</f>
        <v>114</v>
      </c>
      <c r="CB57" s="283">
        <f>子3!$AE71</f>
        <v>0</v>
      </c>
      <c r="CC57" s="283">
        <f>子4!$AE71</f>
        <v>0</v>
      </c>
      <c r="CT57" s="308" t="s">
        <v>519</v>
      </c>
      <c r="CU57" s="309"/>
      <c r="CV57" s="309"/>
      <c r="CW57" s="293">
        <f>SUM(CW55:CW56)</f>
        <v>5057.6400000000012</v>
      </c>
      <c r="CX57" s="293">
        <f t="shared" ref="CX57:DB57" si="20">SUM(CX55:CX56)</f>
        <v>2974.8600000000015</v>
      </c>
      <c r="CY57" s="293">
        <f t="shared" si="20"/>
        <v>794.14499999999987</v>
      </c>
      <c r="CZ57" s="293">
        <f t="shared" si="20"/>
        <v>671.68499999999983</v>
      </c>
      <c r="DA57" s="293">
        <f t="shared" si="20"/>
        <v>0</v>
      </c>
      <c r="DB57" s="293">
        <f t="shared" si="20"/>
        <v>0</v>
      </c>
      <c r="DG57"/>
    </row>
    <row r="58" spans="2:111" outlineLevel="1" x14ac:dyDescent="0.25">
      <c r="B58" s="251"/>
      <c r="C58" s="249"/>
      <c r="D58" s="249"/>
      <c r="E58" s="249"/>
      <c r="F58" s="249"/>
      <c r="G58" s="249"/>
      <c r="H58" s="249"/>
      <c r="I58" s="249"/>
      <c r="J58" s="249"/>
      <c r="K58" s="249"/>
      <c r="L58" s="250"/>
      <c r="M58" s="251"/>
      <c r="N58" s="249"/>
      <c r="O58" s="249"/>
      <c r="P58" s="249"/>
      <c r="Q58" s="249"/>
      <c r="R58" s="249"/>
      <c r="S58" s="249"/>
      <c r="T58" s="250"/>
      <c r="U58" s="249"/>
      <c r="V58" s="249"/>
      <c r="W58" s="249"/>
      <c r="X58" s="249"/>
      <c r="Y58" s="249"/>
      <c r="Z58" s="249"/>
      <c r="AA58" s="249"/>
      <c r="AB58" s="249"/>
      <c r="AC58" s="249"/>
      <c r="AD58" s="249"/>
      <c r="AE58" s="249"/>
      <c r="AF58" s="249"/>
      <c r="AG58" s="249"/>
      <c r="AH58" s="249"/>
      <c r="AI58" s="249"/>
      <c r="AJ58" s="249"/>
      <c r="AK58" s="249"/>
      <c r="AL58" s="249"/>
      <c r="AM58" s="250"/>
      <c r="BD58" s="295" t="s">
        <v>450</v>
      </c>
      <c r="BE58" s="296"/>
      <c r="BF58" s="296"/>
      <c r="BG58" s="297">
        <f>BG44-BG57</f>
        <v>11596.981320000001</v>
      </c>
      <c r="BH58" s="297">
        <f>BH44-BH57</f>
        <v>897.55365599999823</v>
      </c>
      <c r="BI58" s="297">
        <f t="shared" si="11"/>
        <v>12494.534975999999</v>
      </c>
      <c r="BK58" s="295" t="s">
        <v>290</v>
      </c>
      <c r="BL58" s="296"/>
      <c r="BM58" s="297">
        <f t="shared" ref="BM58:BM67" si="21">BM44/12*10000</f>
        <v>240316.60343222436</v>
      </c>
      <c r="BQ58" s="295" t="s">
        <v>450</v>
      </c>
      <c r="BR58" s="296"/>
      <c r="BS58" s="296"/>
      <c r="BT58" s="297">
        <f>BT44-BT57</f>
        <v>75.890143903284638</v>
      </c>
      <c r="BU58" s="297">
        <f>BU44-BU57</f>
        <v>33.239780215384599</v>
      </c>
      <c r="BW58" s="290"/>
      <c r="BX58" s="287" t="s">
        <v>483</v>
      </c>
      <c r="BY58" s="288"/>
      <c r="BZ58" s="39">
        <f>SUM(BZ52:BZ57)</f>
        <v>900.16290000000004</v>
      </c>
      <c r="CA58" s="39">
        <f>SUM(CA52:CA57)</f>
        <v>1421.3679999999999</v>
      </c>
      <c r="CB58" s="39">
        <f>SUM(CB52:CB57)</f>
        <v>0</v>
      </c>
      <c r="CC58" s="39">
        <f>SUM(CC52:CC57)</f>
        <v>0</v>
      </c>
      <c r="CW58"/>
      <c r="DG58"/>
    </row>
    <row r="59" spans="2:111" outlineLevel="1" x14ac:dyDescent="0.25">
      <c r="B59" s="251"/>
      <c r="C59" s="249"/>
      <c r="D59" s="249"/>
      <c r="E59" s="249"/>
      <c r="F59" s="249"/>
      <c r="G59" s="249"/>
      <c r="H59" s="249"/>
      <c r="I59" s="249"/>
      <c r="J59" s="249"/>
      <c r="K59" s="249"/>
      <c r="L59" s="250"/>
      <c r="M59" s="251"/>
      <c r="N59" s="249"/>
      <c r="O59" s="249"/>
      <c r="P59" s="249"/>
      <c r="Q59" s="249"/>
      <c r="R59" s="249"/>
      <c r="S59" s="249"/>
      <c r="T59" s="250"/>
      <c r="U59" s="251"/>
      <c r="V59" s="249"/>
      <c r="W59" s="249"/>
      <c r="X59" s="249"/>
      <c r="Y59" s="249"/>
      <c r="Z59" s="249"/>
      <c r="AA59" s="249"/>
      <c r="AB59" s="249"/>
      <c r="AC59" s="249"/>
      <c r="AD59" s="249"/>
      <c r="AE59" s="249"/>
      <c r="AF59" s="249"/>
      <c r="AG59" s="249"/>
      <c r="AH59" s="249"/>
      <c r="AI59" s="249"/>
      <c r="AJ59" s="249"/>
      <c r="AK59" s="249"/>
      <c r="AL59" s="249"/>
      <c r="AM59" s="250"/>
      <c r="BD59" s="289"/>
      <c r="BE59" s="86" t="s">
        <v>452</v>
      </c>
      <c r="BF59" s="86"/>
      <c r="BG59" s="112">
        <f t="shared" ref="BG59:BH62" si="22">$BI59*BG$44/$BI$44</f>
        <v>4732.9578567560375</v>
      </c>
      <c r="BH59" s="112">
        <f t="shared" si="22"/>
        <v>1100.4735734078263</v>
      </c>
      <c r="BI59" s="112">
        <f>SUM(INDEX(サマリ!$K$1:$K$70,6):INDEX(サマリ!$K$1:$K$70,$AQ$48))+SUM(INDEX(サマリ!$L$1:$L$70,6):INDEX(サマリ!$L$1:$L$70,$AQ$48))</f>
        <v>5833.4314301638642</v>
      </c>
      <c r="BK59" s="290"/>
      <c r="BL59" s="287" t="s">
        <v>291</v>
      </c>
      <c r="BM59" s="39">
        <f t="shared" si="21"/>
        <v>100375.00000000001</v>
      </c>
      <c r="BQ59" s="289"/>
      <c r="BR59" s="86" t="s">
        <v>452</v>
      </c>
      <c r="BS59" s="86"/>
      <c r="BT59" s="112">
        <f>(SUM(INDEX(サマリ!$K$1:$K$70,$AQ$49):INDEX(サマリ!$K$1:$K$70,$AQ$49))+SUM(INDEX(サマリ!$L$1:$L$70,$AQ$49):INDEX(サマリ!$L$1:$L$70,$AQ$49)))/SUM(BT44:BU44)*BT44</f>
        <v>23.195710619011351</v>
      </c>
      <c r="BU59" s="112">
        <f>(SUM(INDEX(サマリ!$K$1:$K$70,$AQ$49):INDEX(サマリ!$K$1:$K$70,$AQ$49))+SUM(INDEX(サマリ!$L$1:$L$70,$AQ$49):INDEX(サマリ!$L$1:$L$70,$AQ$49)))/SUM(BT44:BU44)*BU44</f>
        <v>13.097339380988645</v>
      </c>
      <c r="BW59" s="291" t="s">
        <v>435</v>
      </c>
      <c r="BX59" s="292"/>
      <c r="BY59" s="292"/>
      <c r="BZ59" s="293">
        <f>BZ44-SUM(BZ51,BZ58)</f>
        <v>-1333.1079</v>
      </c>
      <c r="CA59" s="293">
        <f t="shared" ref="CA59:CC59" si="23">CA44-SUM(CA51,CA58)</f>
        <v>-1741.4529999999997</v>
      </c>
      <c r="CB59" s="293">
        <f t="shared" si="23"/>
        <v>0</v>
      </c>
      <c r="CC59" s="293">
        <f t="shared" si="23"/>
        <v>0</v>
      </c>
      <c r="CW59"/>
      <c r="DG59"/>
    </row>
    <row r="60" spans="2:111" outlineLevel="1" x14ac:dyDescent="0.25">
      <c r="B60" s="251"/>
      <c r="C60" s="249"/>
      <c r="D60" s="249"/>
      <c r="E60" s="249"/>
      <c r="F60" s="249"/>
      <c r="G60" s="249"/>
      <c r="H60" s="249"/>
      <c r="I60" s="249"/>
      <c r="J60" s="249"/>
      <c r="K60" s="249"/>
      <c r="L60" s="250"/>
      <c r="M60" s="251"/>
      <c r="N60" s="249"/>
      <c r="O60" s="249"/>
      <c r="P60" s="249"/>
      <c r="Q60" s="249"/>
      <c r="R60" s="249"/>
      <c r="S60" s="249"/>
      <c r="T60" s="250"/>
      <c r="U60" s="251"/>
      <c r="V60" s="249"/>
      <c r="W60" s="249"/>
      <c r="X60" s="249"/>
      <c r="Y60" s="249"/>
      <c r="Z60" s="249"/>
      <c r="AA60" s="249"/>
      <c r="AB60" s="249"/>
      <c r="AC60" s="249"/>
      <c r="AD60" s="249"/>
      <c r="AE60" s="249"/>
      <c r="AF60" s="249"/>
      <c r="AG60" s="249"/>
      <c r="AH60" s="249"/>
      <c r="AI60" s="249"/>
      <c r="AJ60" s="249"/>
      <c r="AK60" s="249"/>
      <c r="AL60" s="249"/>
      <c r="AM60" s="250"/>
      <c r="BD60" s="290"/>
      <c r="BE60" s="86" t="s">
        <v>451</v>
      </c>
      <c r="BF60" s="86"/>
      <c r="BG60" s="112">
        <f t="shared" si="22"/>
        <v>2494.5467075321644</v>
      </c>
      <c r="BH60" s="112">
        <f t="shared" si="22"/>
        <v>580.01419246783519</v>
      </c>
      <c r="BI60" s="112">
        <f>-(SUM(INDEX(子1!$AL$1:$AL$70,6):INDEX(子1!$AL$1:$AL$70,$AQ$48))+SUM(INDEX(子2!$AL$1:$AL$70,6):INDEX(子2!$AL$1:$AL$70,$AQ$48))+SUM(INDEX(子3!$AL$1:$AL$70,6):INDEX(子3!$AL$1:$AL$70,$AQ$48))+SUM(INDEX(子4!$AL$1:$AL$70,6):INDEX(子4!$AL$1:$AL$70,$AQ$48)))</f>
        <v>3074.5608999999999</v>
      </c>
      <c r="BK60" s="290"/>
      <c r="BL60" s="287" t="s">
        <v>72</v>
      </c>
      <c r="BM60" s="39">
        <f>BM46/12*10000</f>
        <v>48999.999999999993</v>
      </c>
      <c r="BQ60" s="290"/>
      <c r="BR60" s="86" t="s">
        <v>451</v>
      </c>
      <c r="BS60" s="86"/>
      <c r="BT60" s="112"/>
      <c r="BU60" s="112"/>
      <c r="DG60"/>
    </row>
    <row r="61" spans="2:111" outlineLevel="1" x14ac:dyDescent="0.25">
      <c r="B61" s="251"/>
      <c r="C61" s="249"/>
      <c r="D61" s="249"/>
      <c r="E61" s="249"/>
      <c r="F61" s="249"/>
      <c r="G61" s="249"/>
      <c r="H61" s="249"/>
      <c r="I61" s="249"/>
      <c r="J61" s="249"/>
      <c r="K61" s="249"/>
      <c r="L61" s="250"/>
      <c r="M61" s="251"/>
      <c r="N61" s="249"/>
      <c r="O61" s="249"/>
      <c r="P61" s="249"/>
      <c r="Q61" s="249"/>
      <c r="R61" s="249"/>
      <c r="S61" s="249"/>
      <c r="T61" s="250"/>
      <c r="U61" s="251"/>
      <c r="V61" s="249"/>
      <c r="W61" s="249"/>
      <c r="X61" s="249"/>
      <c r="Y61" s="249"/>
      <c r="Z61" s="249"/>
      <c r="AA61" s="249"/>
      <c r="AB61" s="249"/>
      <c r="AC61" s="249"/>
      <c r="AD61" s="249"/>
      <c r="AE61" s="249"/>
      <c r="AF61" s="249"/>
      <c r="AG61" s="249"/>
      <c r="AH61" s="249"/>
      <c r="AI61" s="249"/>
      <c r="AJ61" s="249"/>
      <c r="AK61" s="249"/>
      <c r="AL61" s="249"/>
      <c r="AM61" s="250"/>
      <c r="BD61" s="290"/>
      <c r="BE61" s="201" t="s">
        <v>453</v>
      </c>
      <c r="BF61" s="294"/>
      <c r="BG61" s="112">
        <f t="shared" si="22"/>
        <v>2193.080563295865</v>
      </c>
      <c r="BH61" s="112">
        <f t="shared" si="22"/>
        <v>509.91943670413502</v>
      </c>
      <c r="BI61" s="112">
        <f>SUM(INDEX(サマリ!$AH$1:$AH$70,6):INDEX(サマリ!$AH$1:$AH$70,$AQ$48))+SUM(INDEX(サマリ!$AI$1:$AI$70,6):INDEX(サマリ!$AI$1:$AI$70,$AQ$48))+SUM(INDEX(サマリ!$AJ$1:$AJ$70,6):INDEX(サマリ!$AJ$1:$AJ$70,$AQ$48))</f>
        <v>2703</v>
      </c>
      <c r="BK61" s="291" t="s">
        <v>35</v>
      </c>
      <c r="BL61" s="292"/>
      <c r="BM61" s="293">
        <f t="shared" si="21"/>
        <v>149375.00000000003</v>
      </c>
      <c r="BQ61" s="290"/>
      <c r="BR61" s="201" t="s">
        <v>453</v>
      </c>
      <c r="BS61" s="294"/>
      <c r="BT61" s="112"/>
      <c r="BU61" s="112"/>
      <c r="BW61" t="s">
        <v>580</v>
      </c>
      <c r="DG61"/>
    </row>
    <row r="62" spans="2:111" outlineLevel="1" x14ac:dyDescent="0.25">
      <c r="B62" s="251"/>
      <c r="C62" s="249"/>
      <c r="D62" s="249"/>
      <c r="E62" s="249"/>
      <c r="F62" s="249"/>
      <c r="G62" s="249"/>
      <c r="H62" s="249"/>
      <c r="I62" s="249"/>
      <c r="J62" s="249"/>
      <c r="K62" s="249"/>
      <c r="L62" s="250"/>
      <c r="M62" s="251"/>
      <c r="N62" s="249"/>
      <c r="O62" s="249"/>
      <c r="P62" s="249"/>
      <c r="Q62" s="249"/>
      <c r="R62" s="249"/>
      <c r="S62" s="249"/>
      <c r="T62" s="250"/>
      <c r="U62" s="251"/>
      <c r="V62" s="249"/>
      <c r="W62" s="249"/>
      <c r="X62" s="249"/>
      <c r="Y62" s="249"/>
      <c r="Z62" s="249"/>
      <c r="AA62" s="249"/>
      <c r="AB62" s="249"/>
      <c r="AC62" s="249"/>
      <c r="AD62" s="249"/>
      <c r="AE62" s="249"/>
      <c r="AF62" s="249"/>
      <c r="AG62" s="249"/>
      <c r="AH62" s="249"/>
      <c r="AI62" s="249"/>
      <c r="AJ62" s="249"/>
      <c r="AK62" s="249"/>
      <c r="AL62" s="249"/>
      <c r="AM62" s="250"/>
      <c r="BD62" s="290"/>
      <c r="BE62" s="86" t="s">
        <v>454</v>
      </c>
      <c r="BF62" s="86"/>
      <c r="BG62" s="112">
        <f t="shared" si="22"/>
        <v>646.64639620673483</v>
      </c>
      <c r="BH62" s="112">
        <f t="shared" si="22"/>
        <v>150.35360379326511</v>
      </c>
      <c r="BI62" s="112">
        <f>SUM(INDEX(サマリ!$AF$1:$AF$70,6):INDEX(サマリ!$AF$1:$AF$70,$AQ$48))+SUM(INDEX(サマリ!$AG$1:$AG$70,6):INDEX(サマリ!$AG$1:$AG$70,$AQ$48))</f>
        <v>797</v>
      </c>
      <c r="BK62" s="295" t="s">
        <v>450</v>
      </c>
      <c r="BL62" s="296"/>
      <c r="BM62" s="322">
        <f t="shared" si="21"/>
        <v>90941.603432224365</v>
      </c>
      <c r="BQ62" s="290"/>
      <c r="BR62" s="86" t="s">
        <v>454</v>
      </c>
      <c r="BS62" s="86"/>
      <c r="BT62" s="112"/>
      <c r="BU62" s="112"/>
      <c r="BW62" s="289"/>
      <c r="BX62" s="285"/>
      <c r="BY62" s="282" t="s">
        <v>577</v>
      </c>
      <c r="BZ62" s="283">
        <f>子1!$Z$74</f>
        <v>253.96509999999995</v>
      </c>
      <c r="CA62" s="283">
        <f>子2!$Z$74</f>
        <v>400.77019999999993</v>
      </c>
      <c r="CB62" s="283">
        <f>子3!$Z$74</f>
        <v>0</v>
      </c>
      <c r="CC62" s="283">
        <f>子4!$Z$74</f>
        <v>0</v>
      </c>
    </row>
    <row r="63" spans="2:111" outlineLevel="1" x14ac:dyDescent="0.25">
      <c r="B63" s="251"/>
      <c r="C63" s="249"/>
      <c r="D63" s="249"/>
      <c r="E63" s="249"/>
      <c r="F63" s="249"/>
      <c r="G63" s="249"/>
      <c r="H63" s="249"/>
      <c r="I63" s="249"/>
      <c r="J63" s="249"/>
      <c r="K63" s="249"/>
      <c r="L63" s="250"/>
      <c r="M63" s="251"/>
      <c r="N63" s="249"/>
      <c r="O63" s="249"/>
      <c r="P63" s="249"/>
      <c r="Q63" s="249"/>
      <c r="R63" s="249"/>
      <c r="S63" s="249"/>
      <c r="T63" s="250"/>
      <c r="U63" s="251"/>
      <c r="V63" s="249"/>
      <c r="W63" s="249"/>
      <c r="X63" s="249"/>
      <c r="Y63" s="249"/>
      <c r="Z63" s="249"/>
      <c r="AA63" s="249"/>
      <c r="AB63" s="249"/>
      <c r="AC63" s="249"/>
      <c r="AD63" s="249"/>
      <c r="AE63" s="249"/>
      <c r="AF63" s="249"/>
      <c r="AG63" s="249"/>
      <c r="AH63" s="249"/>
      <c r="AI63" s="249"/>
      <c r="AJ63" s="249"/>
      <c r="AK63" s="249"/>
      <c r="AL63" s="249"/>
      <c r="AM63" s="250"/>
      <c r="BD63" s="291" t="s">
        <v>455</v>
      </c>
      <c r="BE63" s="292"/>
      <c r="BF63" s="292"/>
      <c r="BG63" s="311">
        <f>SUM(BG59:BG62)</f>
        <v>10067.231523790802</v>
      </c>
      <c r="BH63" s="311">
        <f t="shared" ref="BH63:BI63" si="24">SUM(BH59:BH62)</f>
        <v>2340.7608063730613</v>
      </c>
      <c r="BI63" s="311">
        <f t="shared" si="24"/>
        <v>12407.992330163865</v>
      </c>
      <c r="BK63" s="291" t="s">
        <v>455</v>
      </c>
      <c r="BL63" s="292"/>
      <c r="BM63" s="293">
        <f t="shared" si="21"/>
        <v>30244.208333333328</v>
      </c>
      <c r="BQ63" s="291" t="s">
        <v>455</v>
      </c>
      <c r="BR63" s="292"/>
      <c r="BS63" s="292"/>
      <c r="BT63" s="311">
        <f>SUM(BT59:BT62)</f>
        <v>23.195710619011351</v>
      </c>
      <c r="BU63" s="311">
        <f>SUM(BU59:BU62)</f>
        <v>13.097339380988645</v>
      </c>
      <c r="BW63" s="290"/>
      <c r="BX63" s="286"/>
      <c r="BY63" s="282" t="s">
        <v>443</v>
      </c>
      <c r="BZ63" s="283">
        <f>子1!$AA$74</f>
        <v>0</v>
      </c>
      <c r="CA63" s="283">
        <f>子2!$AA$74</f>
        <v>432</v>
      </c>
      <c r="CB63" s="283">
        <f>子3!$AA$74</f>
        <v>0</v>
      </c>
      <c r="CC63" s="283">
        <f>子4!$AA$74</f>
        <v>0</v>
      </c>
    </row>
    <row r="64" spans="2:111" outlineLevel="1" x14ac:dyDescent="0.25">
      <c r="B64" s="251"/>
      <c r="C64" s="249"/>
      <c r="D64" s="249"/>
      <c r="E64" s="249"/>
      <c r="F64" s="249"/>
      <c r="G64" s="249"/>
      <c r="H64" s="249"/>
      <c r="I64" s="249"/>
      <c r="J64" s="249"/>
      <c r="K64" s="249"/>
      <c r="L64" s="250"/>
      <c r="M64" s="251"/>
      <c r="N64" s="249"/>
      <c r="O64" s="249"/>
      <c r="P64" s="249"/>
      <c r="Q64" s="249"/>
      <c r="R64" s="249"/>
      <c r="S64" s="249"/>
      <c r="T64" s="250"/>
      <c r="U64" s="251"/>
      <c r="V64" s="249"/>
      <c r="W64" s="249"/>
      <c r="X64" s="249"/>
      <c r="Y64" s="249"/>
      <c r="Z64" s="249"/>
      <c r="AA64" s="249"/>
      <c r="AB64" s="249"/>
      <c r="AC64" s="249"/>
      <c r="AD64" s="249"/>
      <c r="AE64" s="249"/>
      <c r="AF64" s="249"/>
      <c r="AG64" s="249"/>
      <c r="AH64" s="249"/>
      <c r="AI64" s="249"/>
      <c r="AJ64" s="249"/>
      <c r="AK64" s="249"/>
      <c r="AL64" s="249"/>
      <c r="AM64" s="250"/>
      <c r="BD64" s="304" t="s">
        <v>456</v>
      </c>
      <c r="BE64" s="305"/>
      <c r="BF64" s="305"/>
      <c r="BG64" s="306">
        <f>BG58-BG63</f>
        <v>1529.7497962091984</v>
      </c>
      <c r="BH64" s="306">
        <f t="shared" ref="BH64:BI64" si="25">BH58-BH63</f>
        <v>-1443.2071503730631</v>
      </c>
      <c r="BI64" s="306">
        <f t="shared" si="25"/>
        <v>86.542645836134398</v>
      </c>
      <c r="BK64" s="304" t="s">
        <v>523</v>
      </c>
      <c r="BL64" s="305"/>
      <c r="BM64" s="321">
        <f t="shared" si="21"/>
        <v>60697.395098891036</v>
      </c>
      <c r="BQ64" s="304" t="s">
        <v>456</v>
      </c>
      <c r="BR64" s="305"/>
      <c r="BS64" s="305"/>
      <c r="BT64" s="306">
        <f>BT58-BT63</f>
        <v>52.694433284273288</v>
      </c>
      <c r="BU64" s="306">
        <f>BU58-BU63</f>
        <v>20.142440834395956</v>
      </c>
      <c r="BW64" s="290"/>
      <c r="BX64" s="287" t="s">
        <v>578</v>
      </c>
      <c r="BY64" s="288"/>
      <c r="BZ64" s="39">
        <f>SUM(BZ62:BZ63)</f>
        <v>253.96509999999995</v>
      </c>
      <c r="CA64" s="39">
        <f t="shared" ref="CA64:CC64" si="26">SUM(CA62:CA63)</f>
        <v>832.77019999999993</v>
      </c>
      <c r="CB64" s="39">
        <f t="shared" si="26"/>
        <v>0</v>
      </c>
      <c r="CC64" s="39">
        <f t="shared" si="26"/>
        <v>0</v>
      </c>
    </row>
    <row r="65" spans="2:116" outlineLevel="1" x14ac:dyDescent="0.25">
      <c r="B65" s="251"/>
      <c r="C65" s="249"/>
      <c r="D65" s="249"/>
      <c r="E65" s="249"/>
      <c r="F65" s="249"/>
      <c r="G65" s="249"/>
      <c r="H65" s="249"/>
      <c r="I65" s="249"/>
      <c r="J65" s="249"/>
      <c r="K65" s="249"/>
      <c r="L65" s="250"/>
      <c r="M65" s="251"/>
      <c r="N65" s="249"/>
      <c r="O65" s="249"/>
      <c r="P65" s="249"/>
      <c r="Q65" s="249"/>
      <c r="R65" s="249"/>
      <c r="S65" s="249"/>
      <c r="T65" s="250"/>
      <c r="U65" s="251"/>
      <c r="V65" s="249"/>
      <c r="W65" s="249"/>
      <c r="X65" s="249"/>
      <c r="Y65" s="249"/>
      <c r="Z65" s="249"/>
      <c r="AA65" s="249"/>
      <c r="AB65" s="249"/>
      <c r="AC65" s="249"/>
      <c r="AD65" s="249"/>
      <c r="AE65" s="249"/>
      <c r="AF65" s="249"/>
      <c r="AG65" s="249"/>
      <c r="AH65" s="249"/>
      <c r="AI65" s="249"/>
      <c r="AJ65" s="249"/>
      <c r="AK65" s="249"/>
      <c r="AL65" s="249"/>
      <c r="AM65" s="250"/>
      <c r="BD65" s="314" t="s">
        <v>487</v>
      </c>
      <c r="BE65" s="315"/>
      <c r="BF65" s="315"/>
      <c r="BG65" s="316">
        <f>$E$31</f>
        <v>0</v>
      </c>
      <c r="BH65" s="316">
        <f>$J$31</f>
        <v>0</v>
      </c>
      <c r="BI65" s="316">
        <f>SUM(BG65:BH65)</f>
        <v>0</v>
      </c>
      <c r="BK65" s="291" t="s">
        <v>253</v>
      </c>
      <c r="BL65" s="292"/>
      <c r="BM65" s="293">
        <f t="shared" si="21"/>
        <v>45069.444444444445</v>
      </c>
      <c r="BQ65" s="1"/>
      <c r="BR65" s="1"/>
      <c r="BS65" s="1"/>
      <c r="BW65" s="291" t="s">
        <v>579</v>
      </c>
      <c r="BX65" s="292"/>
      <c r="BY65" s="292"/>
      <c r="BZ65" s="370">
        <f>SUM(BZ64:CC64)</f>
        <v>1086.7352999999998</v>
      </c>
      <c r="CA65" s="370"/>
      <c r="CB65" s="370"/>
      <c r="CC65" s="370"/>
    </row>
    <row r="66" spans="2:116" outlineLevel="1" x14ac:dyDescent="0.25">
      <c r="B66" s="251"/>
      <c r="C66" s="249"/>
      <c r="D66" s="249"/>
      <c r="E66" s="249"/>
      <c r="F66" s="249"/>
      <c r="G66" s="249"/>
      <c r="H66" s="249"/>
      <c r="I66" s="249"/>
      <c r="J66" s="249"/>
      <c r="K66" s="249"/>
      <c r="L66" s="250"/>
      <c r="M66" s="251"/>
      <c r="N66" s="249"/>
      <c r="O66" s="249"/>
      <c r="P66" s="249"/>
      <c r="Q66" s="249"/>
      <c r="R66" s="249"/>
      <c r="S66" s="249"/>
      <c r="T66" s="250"/>
      <c r="U66" s="251"/>
      <c r="V66" s="249"/>
      <c r="W66" s="249"/>
      <c r="X66" s="249"/>
      <c r="Y66" s="249"/>
      <c r="Z66" s="249"/>
      <c r="AA66" s="249"/>
      <c r="AB66" s="249"/>
      <c r="AC66" s="249"/>
      <c r="AD66" s="249"/>
      <c r="AE66" s="249"/>
      <c r="AF66" s="249"/>
      <c r="AG66" s="249"/>
      <c r="AH66" s="249"/>
      <c r="AI66" s="249"/>
      <c r="AJ66" s="249"/>
      <c r="AK66" s="249"/>
      <c r="AL66" s="249"/>
      <c r="AM66" s="250"/>
      <c r="BD66" s="284" t="s">
        <v>457</v>
      </c>
      <c r="BE66" s="298"/>
      <c r="BF66" s="298"/>
      <c r="BG66" s="283">
        <f>SUM($D$11:$E$11)</f>
        <v>0</v>
      </c>
      <c r="BH66" s="283">
        <f>SUM($I$11:$J$11)</f>
        <v>0</v>
      </c>
      <c r="BI66" s="283">
        <f>SUM(BG66:BH66)</f>
        <v>0</v>
      </c>
      <c r="BK66" s="291" t="s">
        <v>204</v>
      </c>
      <c r="BL66" s="292"/>
      <c r="BM66" s="293">
        <f t="shared" si="21"/>
        <v>24055.555555555555</v>
      </c>
      <c r="BQ66" s="1"/>
      <c r="BR66" s="1"/>
      <c r="BS66" s="1"/>
    </row>
    <row r="67" spans="2:116" outlineLevel="1" x14ac:dyDescent="0.25">
      <c r="B67" s="251"/>
      <c r="C67" s="249"/>
      <c r="D67" s="249"/>
      <c r="E67" s="249"/>
      <c r="F67" s="249"/>
      <c r="G67" s="249"/>
      <c r="H67" s="249"/>
      <c r="I67" s="249"/>
      <c r="J67" s="249"/>
      <c r="K67" s="249"/>
      <c r="L67" s="250"/>
      <c r="M67" s="251"/>
      <c r="N67" s="249"/>
      <c r="O67" s="249"/>
      <c r="P67" s="249"/>
      <c r="Q67" s="249"/>
      <c r="R67" s="249"/>
      <c r="S67" s="249"/>
      <c r="T67" s="250"/>
      <c r="U67" s="251"/>
      <c r="V67" s="249"/>
      <c r="W67" s="249"/>
      <c r="X67" s="249"/>
      <c r="Y67" s="249"/>
      <c r="Z67" s="249"/>
      <c r="AA67" s="249"/>
      <c r="AB67" s="249"/>
      <c r="AC67" s="249"/>
      <c r="AD67" s="249"/>
      <c r="AE67" s="249"/>
      <c r="AF67" s="249"/>
      <c r="AG67" s="249"/>
      <c r="AH67" s="249"/>
      <c r="AI67" s="249"/>
      <c r="AJ67" s="249"/>
      <c r="AK67" s="249"/>
      <c r="AL67" s="249"/>
      <c r="AM67" s="250"/>
      <c r="BD67" s="284" t="s">
        <v>520</v>
      </c>
      <c r="BE67" s="298"/>
      <c r="BF67" s="298"/>
      <c r="BG67" s="283">
        <f>$BI67*BG$44/$BI$44</f>
        <v>-288.58115143894634</v>
      </c>
      <c r="BH67" s="283">
        <f>$BI67*BH$44/$BI$44</f>
        <v>-67.098829221316677</v>
      </c>
      <c r="BI67" s="283">
        <f>MIN(SUM(INDEX(サマリ!$K$1:$K$70,6):INDEX(サマリ!$K$1:$K$70,$AQ$48))-住居!$K$71,0)</f>
        <v>-355.67998066026303</v>
      </c>
      <c r="BK67" s="304" t="s">
        <v>515</v>
      </c>
      <c r="BL67" s="305"/>
      <c r="BM67" s="321">
        <f t="shared" si="21"/>
        <v>-8427.6049011089654</v>
      </c>
      <c r="BQ67" s="1"/>
      <c r="BR67" s="1"/>
      <c r="BS67" s="1"/>
    </row>
    <row r="68" spans="2:116" outlineLevel="1" x14ac:dyDescent="0.25">
      <c r="B68" s="251"/>
      <c r="C68" s="249"/>
      <c r="D68" s="249"/>
      <c r="E68" s="249"/>
      <c r="F68" s="249"/>
      <c r="G68" s="249"/>
      <c r="H68" s="249"/>
      <c r="I68" s="249"/>
      <c r="J68" s="249"/>
      <c r="K68" s="249"/>
      <c r="L68" s="250"/>
      <c r="M68" s="251"/>
      <c r="N68" s="249"/>
      <c r="O68" s="249"/>
      <c r="P68" s="249"/>
      <c r="Q68" s="249"/>
      <c r="R68" s="249"/>
      <c r="S68" s="249"/>
      <c r="T68" s="250"/>
      <c r="U68" s="251"/>
      <c r="V68" s="249"/>
      <c r="W68" s="249"/>
      <c r="X68" s="249"/>
      <c r="Y68" s="249"/>
      <c r="Z68" s="249"/>
      <c r="AA68" s="249"/>
      <c r="AB68" s="249"/>
      <c r="AC68" s="249"/>
      <c r="AD68" s="249"/>
      <c r="AE68" s="249"/>
      <c r="AF68" s="249"/>
      <c r="AG68" s="249"/>
      <c r="AH68" s="249"/>
      <c r="AI68" s="249"/>
      <c r="AJ68" s="249"/>
      <c r="AK68" s="249"/>
      <c r="AL68" s="249"/>
      <c r="AM68" s="250"/>
      <c r="BD68" s="304" t="s">
        <v>458</v>
      </c>
      <c r="BE68" s="305"/>
      <c r="BF68" s="305"/>
      <c r="BG68" s="306">
        <f>SUM(BG64:BG67)</f>
        <v>1241.1686447702521</v>
      </c>
      <c r="BH68" s="306">
        <f t="shared" ref="BH68:BI68" si="27">SUM(BH64:BH67)</f>
        <v>-1510.3059795943798</v>
      </c>
      <c r="BI68" s="306">
        <f t="shared" si="27"/>
        <v>-269.13733482412863</v>
      </c>
      <c r="BQ68" s="1"/>
      <c r="BR68" s="1"/>
      <c r="BS68" s="1"/>
    </row>
    <row r="69" spans="2:116" outlineLevel="1" x14ac:dyDescent="0.25">
      <c r="B69" s="251"/>
      <c r="C69" s="249"/>
      <c r="D69" s="249"/>
      <c r="E69" s="249"/>
      <c r="F69" s="249"/>
      <c r="G69" s="249"/>
      <c r="H69" s="249"/>
      <c r="I69" s="249"/>
      <c r="J69" s="249"/>
      <c r="K69" s="249"/>
      <c r="L69" s="250"/>
      <c r="M69" s="251"/>
      <c r="N69" s="249"/>
      <c r="O69" s="249"/>
      <c r="P69" s="249"/>
      <c r="Q69" s="249"/>
      <c r="R69" s="249"/>
      <c r="S69" s="249"/>
      <c r="T69" s="250"/>
      <c r="U69" s="251"/>
      <c r="V69" s="249"/>
      <c r="W69" s="249"/>
      <c r="X69" s="249"/>
      <c r="Y69" s="249"/>
      <c r="Z69" s="249"/>
      <c r="AA69" s="249"/>
      <c r="AB69" s="249"/>
      <c r="AC69" s="249"/>
      <c r="AD69" s="249"/>
      <c r="AE69" s="249"/>
      <c r="AF69" s="249"/>
      <c r="AG69" s="249"/>
      <c r="AH69" s="249"/>
      <c r="AI69" s="249"/>
      <c r="AJ69" s="249"/>
      <c r="AK69" s="249"/>
      <c r="AL69" s="249"/>
      <c r="AM69" s="250"/>
    </row>
    <row r="70" spans="2:116" outlineLevel="1" x14ac:dyDescent="0.25">
      <c r="B70" s="251"/>
      <c r="C70" s="249"/>
      <c r="D70" s="249"/>
      <c r="E70" s="249"/>
      <c r="F70" s="249"/>
      <c r="G70" s="249"/>
      <c r="H70" s="249"/>
      <c r="I70" s="249"/>
      <c r="J70" s="249"/>
      <c r="K70" s="249"/>
      <c r="L70" s="250"/>
      <c r="M70" s="251"/>
      <c r="N70" s="249"/>
      <c r="O70" s="249"/>
      <c r="P70" s="249"/>
      <c r="Q70" s="249"/>
      <c r="R70" s="249"/>
      <c r="S70" s="249"/>
      <c r="T70" s="250"/>
      <c r="U70" s="251"/>
      <c r="V70" s="249"/>
      <c r="W70" s="249"/>
      <c r="X70" s="249"/>
      <c r="Y70" s="249"/>
      <c r="Z70" s="249"/>
      <c r="AA70" s="249"/>
      <c r="AB70" s="249"/>
      <c r="AC70" s="249"/>
      <c r="AD70" s="249"/>
      <c r="AE70" s="249"/>
      <c r="AF70" s="249"/>
      <c r="AG70" s="249"/>
      <c r="AH70" s="249"/>
      <c r="AI70" s="249"/>
      <c r="AJ70" s="249"/>
      <c r="AK70" s="249"/>
      <c r="AL70" s="249"/>
      <c r="AM70" s="250"/>
      <c r="CW70" s="1">
        <v>6</v>
      </c>
      <c r="CX70" s="140">
        <f>CW70+5</f>
        <v>11</v>
      </c>
      <c r="CY70" s="140">
        <f t="shared" ref="CY70:DB70" si="28">CX70+5</f>
        <v>16</v>
      </c>
      <c r="CZ70" s="140">
        <f t="shared" si="28"/>
        <v>21</v>
      </c>
      <c r="DA70" s="140">
        <f t="shared" si="28"/>
        <v>26</v>
      </c>
      <c r="DB70" s="140">
        <f t="shared" si="28"/>
        <v>31</v>
      </c>
      <c r="DG70" s="1">
        <v>6</v>
      </c>
      <c r="DH70" s="140">
        <f>DG70+5</f>
        <v>11</v>
      </c>
      <c r="DI70" s="140">
        <f t="shared" ref="DI70:DL70" si="29">DH70+5</f>
        <v>16</v>
      </c>
      <c r="DJ70" s="140">
        <f t="shared" si="29"/>
        <v>21</v>
      </c>
      <c r="DK70" s="140">
        <f t="shared" si="29"/>
        <v>26</v>
      </c>
      <c r="DL70" s="140">
        <f t="shared" si="29"/>
        <v>31</v>
      </c>
    </row>
    <row r="71" spans="2:116" ht="15" outlineLevel="1" thickBot="1" x14ac:dyDescent="0.3">
      <c r="B71" s="256"/>
      <c r="C71" s="254"/>
      <c r="D71" s="254"/>
      <c r="E71" s="254"/>
      <c r="F71" s="254"/>
      <c r="G71" s="254"/>
      <c r="H71" s="254"/>
      <c r="I71" s="254"/>
      <c r="J71" s="254"/>
      <c r="K71" s="254"/>
      <c r="L71" s="255"/>
      <c r="M71" s="256"/>
      <c r="N71" s="254"/>
      <c r="O71" s="254"/>
      <c r="P71" s="254"/>
      <c r="Q71" s="254"/>
      <c r="R71" s="254"/>
      <c r="S71" s="254"/>
      <c r="T71" s="255"/>
      <c r="U71" s="256"/>
      <c r="V71" s="254"/>
      <c r="W71" s="324"/>
      <c r="X71" s="324"/>
      <c r="Y71" s="324"/>
      <c r="Z71" s="249"/>
      <c r="AA71" s="249"/>
      <c r="AB71" s="249"/>
      <c r="AC71" s="249"/>
      <c r="AD71" s="254"/>
      <c r="AE71" s="254"/>
      <c r="AF71" s="254"/>
      <c r="AG71" s="254"/>
      <c r="AH71" s="254"/>
      <c r="AI71" s="254"/>
      <c r="AJ71" s="254"/>
      <c r="AK71" s="254"/>
      <c r="AL71" s="254"/>
      <c r="AM71" s="255"/>
    </row>
    <row r="72" spans="2:116" ht="15" thickBot="1" x14ac:dyDescent="0.3">
      <c r="B72" s="247"/>
      <c r="C72" s="245" t="s">
        <v>524</v>
      </c>
      <c r="D72" s="245"/>
      <c r="E72" s="245"/>
      <c r="F72" s="245"/>
      <c r="G72" s="245"/>
      <c r="H72" s="245"/>
      <c r="I72" s="245"/>
      <c r="J72" s="245"/>
      <c r="K72" s="245"/>
      <c r="L72" s="245"/>
      <c r="M72" s="245"/>
      <c r="N72" s="245"/>
      <c r="O72" s="245"/>
      <c r="P72" s="245"/>
      <c r="Q72" s="245"/>
      <c r="R72" s="245"/>
      <c r="S72" s="245"/>
      <c r="T72" s="245"/>
      <c r="U72" s="245"/>
      <c r="V72" s="245"/>
      <c r="W72" s="248"/>
      <c r="X72" s="248"/>
      <c r="Y72" s="248"/>
      <c r="Z72" s="245"/>
      <c r="AA72" s="245"/>
      <c r="AB72" s="245"/>
      <c r="AC72" s="245"/>
      <c r="AD72" s="245"/>
      <c r="AE72" s="245"/>
      <c r="AF72" s="245"/>
      <c r="AG72" s="245"/>
      <c r="AH72" s="245"/>
      <c r="AI72" s="245"/>
      <c r="AJ72" s="245"/>
      <c r="AK72" s="245"/>
      <c r="AL72" s="245"/>
      <c r="AM72" s="246"/>
      <c r="CT72" s="312" t="s">
        <v>553</v>
      </c>
      <c r="CX72" s="1"/>
      <c r="CY72" s="1"/>
      <c r="CZ72" s="1"/>
      <c r="DA72" s="1"/>
      <c r="DB72" s="1"/>
      <c r="DD72" s="312"/>
      <c r="DH72" s="1"/>
      <c r="DI72" s="1"/>
      <c r="DJ72" s="1"/>
      <c r="DK72" s="1"/>
      <c r="DL72" s="1"/>
    </row>
    <row r="73" spans="2:116" outlineLevel="1" x14ac:dyDescent="0.25">
      <c r="B73" s="251"/>
      <c r="C73" s="252"/>
      <c r="D73" s="252"/>
      <c r="E73" s="252"/>
      <c r="F73" s="252"/>
      <c r="G73" s="252"/>
      <c r="H73" s="252"/>
      <c r="I73" s="252"/>
      <c r="J73" s="249"/>
      <c r="K73" s="249"/>
      <c r="L73" s="250"/>
      <c r="M73" s="251"/>
      <c r="N73" s="249"/>
      <c r="O73" s="249"/>
      <c r="P73" s="252"/>
      <c r="Q73" s="252"/>
      <c r="R73" s="252"/>
      <c r="S73" s="252"/>
      <c r="T73" s="250"/>
      <c r="U73" s="251"/>
      <c r="V73" s="249"/>
      <c r="W73" s="253"/>
      <c r="X73" s="253"/>
      <c r="Y73" s="253"/>
      <c r="Z73" s="249"/>
      <c r="AA73" s="250"/>
      <c r="AB73" s="251"/>
      <c r="AC73" s="249"/>
      <c r="AD73" s="249"/>
      <c r="AE73" s="249"/>
      <c r="AF73" s="249"/>
      <c r="AG73" s="249"/>
      <c r="AH73" s="249"/>
      <c r="AI73" s="249"/>
      <c r="AJ73" s="249"/>
      <c r="AK73" s="249"/>
      <c r="AL73" s="249"/>
      <c r="AM73" s="250"/>
      <c r="BF73" s="282" t="s">
        <v>20</v>
      </c>
      <c r="BG73" s="112">
        <f>SUM(BI45,BZ45:CC45)</f>
        <v>3742.2000000000025</v>
      </c>
      <c r="CT73" s="361" t="s">
        <v>0</v>
      </c>
      <c r="CU73" s="362"/>
      <c r="CV73" s="357" t="s">
        <v>40</v>
      </c>
      <c r="CW73" s="303">
        <f>SUM(INDEX(サマリ!$C$1:$C$70,CW$70):INDEX(サマリ!$C$1:$C$70,CW$70))</f>
        <v>24</v>
      </c>
      <c r="CX73" s="303">
        <f>SUM(INDEX(サマリ!$C$1:$C$70,CX$70):INDEX(サマリ!$C$1:$C$70,CX$70))</f>
        <v>29</v>
      </c>
      <c r="CY73" s="303">
        <f>SUM(INDEX(サマリ!$C$1:$C$70,CY$70):INDEX(サマリ!$C$1:$C$70,CY$70))</f>
        <v>34</v>
      </c>
      <c r="CZ73" s="303">
        <f>SUM(INDEX(サマリ!$C$1:$C$70,CZ$70):INDEX(サマリ!$C$1:$C$70,CZ$70))</f>
        <v>39</v>
      </c>
      <c r="DA73" s="303">
        <f>SUM(INDEX(サマリ!$C$1:$C$70,DA$70):INDEX(サマリ!$C$1:$C$70,DA$70))</f>
        <v>44</v>
      </c>
      <c r="DB73" s="303">
        <f>SUM(INDEX(サマリ!$C$1:$C$70,DB$70):INDEX(サマリ!$C$1:$C$70,DB$70))</f>
        <v>49</v>
      </c>
      <c r="DD73" s="361" t="s">
        <v>0</v>
      </c>
      <c r="DE73" s="362"/>
      <c r="DF73" s="357" t="s">
        <v>40</v>
      </c>
      <c r="DG73" s="303">
        <f>SUM(INDEX(サマリ!$C$1:$C$70,DG$70):INDEX(サマリ!$C$1:$C$70,DG$70))</f>
        <v>24</v>
      </c>
      <c r="DH73" s="303">
        <f>SUM(INDEX(サマリ!$C$1:$C$70,DH$70):INDEX(サマリ!$C$1:$C$70,DH$70))</f>
        <v>29</v>
      </c>
      <c r="DI73" s="303">
        <f>SUM(INDEX(サマリ!$C$1:$C$70,DI$70):INDEX(サマリ!$C$1:$C$70,DI$70))</f>
        <v>34</v>
      </c>
      <c r="DJ73" s="303">
        <f>SUM(INDEX(サマリ!$C$1:$C$70,DJ$70):INDEX(サマリ!$C$1:$C$70,DJ$70))</f>
        <v>39</v>
      </c>
      <c r="DK73" s="303">
        <f>SUM(INDEX(サマリ!$C$1:$C$70,DK$70):INDEX(サマリ!$C$1:$C$70,DK$70))</f>
        <v>44</v>
      </c>
      <c r="DL73" s="303">
        <f>SUM(INDEX(サマリ!$C$1:$C$70,DL$70):INDEX(サマリ!$C$1:$C$70,DL$70))</f>
        <v>49</v>
      </c>
    </row>
    <row r="74" spans="2:116" outlineLevel="1" x14ac:dyDescent="0.25">
      <c r="B74" s="251"/>
      <c r="C74" s="249"/>
      <c r="D74" s="252"/>
      <c r="E74" s="252"/>
      <c r="F74" s="252"/>
      <c r="G74" s="252"/>
      <c r="H74" s="252"/>
      <c r="I74" s="252"/>
      <c r="J74" s="252"/>
      <c r="K74" s="252"/>
      <c r="L74" s="250"/>
      <c r="M74" s="251"/>
      <c r="N74" s="249"/>
      <c r="O74" s="252"/>
      <c r="P74" s="252"/>
      <c r="Q74" s="252"/>
      <c r="R74" s="252"/>
      <c r="S74" s="252"/>
      <c r="T74" s="250"/>
      <c r="U74" s="251"/>
      <c r="V74" s="249"/>
      <c r="W74" s="253"/>
      <c r="X74" s="253"/>
      <c r="Y74" s="253"/>
      <c r="Z74" s="249"/>
      <c r="AA74" s="250"/>
      <c r="AB74" s="251"/>
      <c r="AC74" s="249"/>
      <c r="AD74" s="249"/>
      <c r="AE74" s="249"/>
      <c r="AF74" s="249"/>
      <c r="AG74" s="249"/>
      <c r="AH74" s="249"/>
      <c r="AI74" s="249"/>
      <c r="AJ74" s="249"/>
      <c r="AK74" s="249"/>
      <c r="AL74" s="249"/>
      <c r="AM74" s="250"/>
      <c r="BF74" s="282" t="s">
        <v>581</v>
      </c>
      <c r="BG74" s="112">
        <f>SUM(BI46,BZ46:CC46)</f>
        <v>1385.9999999999995</v>
      </c>
      <c r="CT74" s="358"/>
      <c r="CU74" s="363"/>
      <c r="CV74" s="357" t="s">
        <v>41</v>
      </c>
      <c r="CW74" s="303">
        <f>SUM(INDEX(親2!$C$1:$C$70,CW$70):INDEX(親2!$C$1:$C$70,CW$70))</f>
        <v>22</v>
      </c>
      <c r="CX74" s="303">
        <f>SUM(INDEX(親2!$C$1:$C$70,CX$70):INDEX(親2!$C$1:$C$70,CX$70))</f>
        <v>27</v>
      </c>
      <c r="CY74" s="303">
        <f>SUM(INDEX(親2!$C$1:$C$70,CY$70):INDEX(親2!$C$1:$C$70,CY$70))</f>
        <v>32</v>
      </c>
      <c r="CZ74" s="303">
        <f>SUM(INDEX(親2!$C$1:$C$70,CZ$70):INDEX(親2!$C$1:$C$70,CZ$70))</f>
        <v>37</v>
      </c>
      <c r="DA74" s="303">
        <f>SUM(INDEX(親2!$C$1:$C$70,DA$70):INDEX(親2!$C$1:$C$70,DA$70))</f>
        <v>42</v>
      </c>
      <c r="DB74" s="303">
        <f>SUM(INDEX(親2!$C$1:$C$70,DB$70):INDEX(親2!$C$1:$C$70,DB$70))</f>
        <v>47</v>
      </c>
      <c r="DD74" s="364"/>
      <c r="DE74" s="365"/>
      <c r="DF74" s="357" t="s">
        <v>41</v>
      </c>
      <c r="DG74" s="303">
        <f>SUM(INDEX(親2!$C$1:$C$70,DG$70):INDEX(親2!$C$1:$C$70,DG$70))</f>
        <v>22</v>
      </c>
      <c r="DH74" s="303">
        <f>SUM(INDEX(親2!$C$1:$C$70,DH$70):INDEX(親2!$C$1:$C$70,DH$70))</f>
        <v>27</v>
      </c>
      <c r="DI74" s="303">
        <f>SUM(INDEX(親2!$C$1:$C$70,DI$70):INDEX(親2!$C$1:$C$70,DI$70))</f>
        <v>32</v>
      </c>
      <c r="DJ74" s="303">
        <f>SUM(INDEX(親2!$C$1:$C$70,DJ$70):INDEX(親2!$C$1:$C$70,DJ$70))</f>
        <v>37</v>
      </c>
      <c r="DK74" s="303">
        <f>SUM(INDEX(親2!$C$1:$C$70,DK$70):INDEX(親2!$C$1:$C$70,DK$70))</f>
        <v>42</v>
      </c>
      <c r="DL74" s="303">
        <f>SUM(INDEX(親2!$C$1:$C$70,DL$70):INDEX(親2!$C$1:$C$70,DL$70))</f>
        <v>47</v>
      </c>
    </row>
    <row r="75" spans="2:116" outlineLevel="1" x14ac:dyDescent="0.25">
      <c r="B75" s="251"/>
      <c r="C75" s="252"/>
      <c r="D75" s="249"/>
      <c r="E75" s="252"/>
      <c r="F75" s="252"/>
      <c r="G75" s="252"/>
      <c r="H75" s="252"/>
      <c r="I75" s="252"/>
      <c r="J75" s="252"/>
      <c r="K75" s="252"/>
      <c r="L75" s="250"/>
      <c r="M75" s="251"/>
      <c r="N75" s="249"/>
      <c r="O75" s="252"/>
      <c r="P75" s="252"/>
      <c r="Q75" s="252"/>
      <c r="R75" s="252"/>
      <c r="S75" s="252"/>
      <c r="T75" s="250"/>
      <c r="U75" s="251"/>
      <c r="V75" s="249"/>
      <c r="W75" s="253"/>
      <c r="X75" s="253"/>
      <c r="Y75" s="253"/>
      <c r="Z75" s="249"/>
      <c r="AA75" s="250"/>
      <c r="AB75" s="251"/>
      <c r="AC75" s="249"/>
      <c r="AD75" s="249"/>
      <c r="AE75" s="249"/>
      <c r="AF75" s="249"/>
      <c r="AG75" s="249"/>
      <c r="AH75" s="249"/>
      <c r="AI75" s="249"/>
      <c r="AJ75" s="249"/>
      <c r="AK75" s="249"/>
      <c r="AL75" s="249"/>
      <c r="AM75" s="250"/>
      <c r="BF75" s="282" t="s">
        <v>582</v>
      </c>
      <c r="BG75" s="112">
        <f>SUM(BI47:BI49,BZ47:CC49)</f>
        <v>1115.7299999999996</v>
      </c>
      <c r="CT75" s="358"/>
      <c r="CU75" s="141"/>
      <c r="CV75" s="357" t="s">
        <v>248</v>
      </c>
      <c r="CW75" s="303">
        <f>SUM(INDEX(子1!$C$1:$C$70,CW$70):INDEX(子1!$C$1:$C$70,CW$70))</f>
        <v>-4</v>
      </c>
      <c r="CX75" s="303">
        <f>SUM(INDEX(子1!$C$1:$C$70,CX$70):INDEX(子1!$C$1:$C$70,CX$70))</f>
        <v>1</v>
      </c>
      <c r="CY75" s="303">
        <f>SUM(INDEX(子1!$C$1:$C$70,CY$70):INDEX(子1!$C$1:$C$70,CY$70))</f>
        <v>6</v>
      </c>
      <c r="CZ75" s="303">
        <f>SUM(INDEX(子1!$C$1:$C$70,CZ$70):INDEX(子1!$C$1:$C$70,CZ$70))</f>
        <v>11</v>
      </c>
      <c r="DA75" s="303">
        <f>SUM(INDEX(子1!$C$1:$C$70,DA$70):INDEX(子1!$C$1:$C$70,DA$70))</f>
        <v>16</v>
      </c>
      <c r="DB75" s="303">
        <f>SUM(INDEX(子1!$C$1:$C$70,DB$70):INDEX(子1!$C$1:$C$70,DB$70))</f>
        <v>21</v>
      </c>
      <c r="DD75" s="364"/>
      <c r="DE75" s="366"/>
      <c r="DF75" s="357" t="s">
        <v>248</v>
      </c>
      <c r="DG75" s="303">
        <f>SUM(INDEX(子1!$C$1:$C$70,DG$70):INDEX(子1!$C$1:$C$70,DG$70))</f>
        <v>-4</v>
      </c>
      <c r="DH75" s="303">
        <f>SUM(INDEX(子1!$C$1:$C$70,DH$70):INDEX(子1!$C$1:$C$70,DH$70))</f>
        <v>1</v>
      </c>
      <c r="DI75" s="303">
        <f>SUM(INDEX(子1!$C$1:$C$70,DI$70):INDEX(子1!$C$1:$C$70,DI$70))</f>
        <v>6</v>
      </c>
      <c r="DJ75" s="303">
        <f>SUM(INDEX(子1!$C$1:$C$70,DJ$70):INDEX(子1!$C$1:$C$70,DJ$70))</f>
        <v>11</v>
      </c>
      <c r="DK75" s="303">
        <f>SUM(INDEX(子1!$C$1:$C$70,DK$70):INDEX(子1!$C$1:$C$70,DK$70))</f>
        <v>16</v>
      </c>
      <c r="DL75" s="303">
        <f>SUM(INDEX(子1!$C$1:$C$70,DL$70):INDEX(子1!$C$1:$C$70,DL$70))</f>
        <v>21</v>
      </c>
    </row>
    <row r="76" spans="2:116" outlineLevel="1" x14ac:dyDescent="0.25">
      <c r="B76" s="251"/>
      <c r="C76" s="249"/>
      <c r="D76" s="249"/>
      <c r="E76" s="252"/>
      <c r="F76" s="252"/>
      <c r="G76" s="252"/>
      <c r="H76" s="252"/>
      <c r="I76" s="252"/>
      <c r="J76" s="252"/>
      <c r="K76" s="252"/>
      <c r="L76" s="250"/>
      <c r="M76" s="251"/>
      <c r="N76" s="249"/>
      <c r="O76" s="252"/>
      <c r="P76" s="252"/>
      <c r="Q76" s="252"/>
      <c r="R76" s="252"/>
      <c r="S76" s="252"/>
      <c r="T76" s="250"/>
      <c r="U76" s="251"/>
      <c r="V76" s="249"/>
      <c r="W76" s="253"/>
      <c r="X76" s="253"/>
      <c r="Y76" s="253"/>
      <c r="Z76" s="249"/>
      <c r="AA76" s="250"/>
      <c r="AB76" s="251"/>
      <c r="AC76" s="249"/>
      <c r="AD76" s="249"/>
      <c r="AE76" s="249"/>
      <c r="AF76" s="249"/>
      <c r="AG76" s="249"/>
      <c r="AH76" s="249"/>
      <c r="AI76" s="249"/>
      <c r="AJ76" s="249"/>
      <c r="AK76" s="249"/>
      <c r="AL76" s="249"/>
      <c r="AM76" s="250"/>
      <c r="BF76" s="282" t="s">
        <v>42</v>
      </c>
      <c r="BG76" s="112">
        <f>SUM(BI50)</f>
        <v>504</v>
      </c>
      <c r="CT76" s="359"/>
      <c r="CU76" s="360"/>
      <c r="CV76" s="357" t="s">
        <v>249</v>
      </c>
      <c r="CW76" s="303">
        <f>SUM(INDEX(子2!$C$1:$C$70,CW$70):INDEX(子2!$C$1:$C$70,CW$70))</f>
        <v>-7</v>
      </c>
      <c r="CX76" s="303">
        <f>SUM(INDEX(子2!$C$1:$C$70,CX$70):INDEX(子2!$C$1:$C$70,CX$70))</f>
        <v>-2</v>
      </c>
      <c r="CY76" s="303">
        <f>SUM(INDEX(子2!$C$1:$C$70,CY$70):INDEX(子2!$C$1:$C$70,CY$70))</f>
        <v>3</v>
      </c>
      <c r="CZ76" s="303">
        <f>SUM(INDEX(子2!$C$1:$C$70,CZ$70):INDEX(子2!$C$1:$C$70,CZ$70))</f>
        <v>8</v>
      </c>
      <c r="DA76" s="303">
        <f>SUM(INDEX(子2!$C$1:$C$70,DA$70):INDEX(子2!$C$1:$C$70,DA$70))</f>
        <v>13</v>
      </c>
      <c r="DB76" s="303">
        <f>SUM(INDEX(子2!$C$1:$C$70,DB$70):INDEX(子2!$C$1:$C$70,DB$70))</f>
        <v>18</v>
      </c>
      <c r="DD76" s="367"/>
      <c r="DE76" s="368"/>
      <c r="DF76" s="357" t="s">
        <v>249</v>
      </c>
      <c r="DG76" s="303">
        <f>SUM(INDEX(子2!$C$1:$C$70,DG$70):INDEX(子2!$C$1:$C$70,DG$70))</f>
        <v>-7</v>
      </c>
      <c r="DH76" s="303">
        <f>SUM(INDEX(子2!$C$1:$C$70,DH$70):INDEX(子2!$C$1:$C$70,DH$70))</f>
        <v>-2</v>
      </c>
      <c r="DI76" s="303">
        <f>SUM(INDEX(子2!$C$1:$C$70,DI$70):INDEX(子2!$C$1:$C$70,DI$70))</f>
        <v>3</v>
      </c>
      <c r="DJ76" s="303">
        <f>SUM(INDEX(子2!$C$1:$C$70,DJ$70):INDEX(子2!$C$1:$C$70,DJ$70))</f>
        <v>8</v>
      </c>
      <c r="DK76" s="303">
        <f>SUM(INDEX(子2!$C$1:$C$70,DK$70):INDEX(子2!$C$1:$C$70,DK$70))</f>
        <v>13</v>
      </c>
      <c r="DL76" s="303">
        <f>SUM(INDEX(子2!$C$1:$C$70,DL$70):INDEX(子2!$C$1:$C$70,DL$70))</f>
        <v>18</v>
      </c>
    </row>
    <row r="77" spans="2:116" outlineLevel="1" x14ac:dyDescent="0.25">
      <c r="B77" s="251"/>
      <c r="C77" s="249"/>
      <c r="D77" s="249"/>
      <c r="E77" s="252"/>
      <c r="F77" s="252"/>
      <c r="G77" s="252"/>
      <c r="H77" s="252"/>
      <c r="I77" s="252"/>
      <c r="J77" s="252"/>
      <c r="K77" s="252"/>
      <c r="L77" s="250"/>
      <c r="M77" s="251"/>
      <c r="N77" s="249"/>
      <c r="O77" s="252"/>
      <c r="P77" s="252"/>
      <c r="Q77" s="252"/>
      <c r="R77" s="252"/>
      <c r="S77" s="252"/>
      <c r="T77" s="250"/>
      <c r="U77" s="251"/>
      <c r="V77" s="249"/>
      <c r="W77" s="253"/>
      <c r="X77" s="253"/>
      <c r="Y77" s="253"/>
      <c r="Z77" s="249"/>
      <c r="AA77" s="250"/>
      <c r="AB77" s="251"/>
      <c r="AC77" s="249"/>
      <c r="AD77" s="249"/>
      <c r="AE77" s="249"/>
      <c r="AF77" s="249"/>
      <c r="AG77" s="249"/>
      <c r="AH77" s="249"/>
      <c r="AI77" s="249"/>
      <c r="AJ77" s="249"/>
      <c r="AK77" s="249"/>
      <c r="AL77" s="249"/>
      <c r="AM77" s="250"/>
      <c r="BF77" s="282" t="s">
        <v>583</v>
      </c>
      <c r="BG77" s="112">
        <f>SUM(BI52:BI53,BZ52:CC52)</f>
        <v>506.40000000000015</v>
      </c>
      <c r="CT77" s="295" t="s">
        <v>290</v>
      </c>
      <c r="CU77" s="296"/>
      <c r="CV77" s="296"/>
      <c r="CW77" s="297">
        <f>SUM(INDEX(サマリ!$J$1:$J$70,CW$70):INDEX(サマリ!$J$1:$J$70,CW$70))</f>
        <v>356.57079999999996</v>
      </c>
      <c r="CX77" s="297">
        <f>SUM(INDEX(サマリ!$J$1:$J$70,CX$70):INDEX(サマリ!$J$1:$J$70,CX$70))</f>
        <v>396.70908800000001</v>
      </c>
      <c r="CY77" s="297">
        <f>SUM(INDEX(サマリ!$J$1:$J$70,CY$70):INDEX(サマリ!$J$1:$J$70,CY$70))</f>
        <v>458.41492799999997</v>
      </c>
      <c r="CZ77" s="297">
        <f>SUM(INDEX(サマリ!$J$1:$J$70,CZ$70):INDEX(サマリ!$J$1:$J$70,CZ$70))</f>
        <v>535.79700000000003</v>
      </c>
      <c r="DA77" s="297">
        <f>SUM(INDEX(サマリ!$J$1:$J$70,DA$70):INDEX(サマリ!$J$1:$J$70,DA$70))</f>
        <v>568.69137000000001</v>
      </c>
      <c r="DB77" s="297">
        <f>SUM(INDEX(サマリ!$J$1:$J$70,DB$70):INDEX(サマリ!$J$1:$J$70,DB$70))</f>
        <v>597.19913799999995</v>
      </c>
      <c r="DD77" s="295" t="s">
        <v>290</v>
      </c>
      <c r="DE77" s="296"/>
      <c r="DF77" s="296"/>
      <c r="DG77" s="297">
        <f>CW77/12*10000</f>
        <v>297142.33333333331</v>
      </c>
      <c r="DH77" s="297">
        <f t="shared" ref="DH77:DH100" si="30">CX77/12*10000</f>
        <v>330590.90666666668</v>
      </c>
      <c r="DI77" s="297">
        <f t="shared" ref="DI77:DI100" si="31">CY77/12*10000</f>
        <v>382012.43999999994</v>
      </c>
      <c r="DJ77" s="297">
        <f t="shared" ref="DJ77:DJ100" si="32">CZ77/12*10000</f>
        <v>446497.50000000006</v>
      </c>
      <c r="DK77" s="297">
        <f t="shared" ref="DK77:DK100" si="33">DA77/12*10000</f>
        <v>473909.47500000003</v>
      </c>
      <c r="DL77" s="297">
        <f t="shared" ref="DL77:DL100" si="34">DB77/12*10000</f>
        <v>497665.9483333333</v>
      </c>
    </row>
    <row r="78" spans="2:116" outlineLevel="1" x14ac:dyDescent="0.25">
      <c r="B78" s="251"/>
      <c r="C78" s="249"/>
      <c r="D78" s="249"/>
      <c r="E78" s="252"/>
      <c r="F78" s="252"/>
      <c r="G78" s="252"/>
      <c r="H78" s="252"/>
      <c r="I78" s="252"/>
      <c r="J78" s="252"/>
      <c r="K78" s="252"/>
      <c r="L78" s="250"/>
      <c r="M78" s="251"/>
      <c r="N78" s="249"/>
      <c r="O78" s="252"/>
      <c r="P78" s="252"/>
      <c r="Q78" s="252"/>
      <c r="R78" s="252"/>
      <c r="S78" s="252"/>
      <c r="T78" s="250"/>
      <c r="U78" s="251"/>
      <c r="V78" s="249"/>
      <c r="W78" s="253"/>
      <c r="X78" s="253"/>
      <c r="Y78" s="253"/>
      <c r="Z78" s="249"/>
      <c r="AA78" s="250"/>
      <c r="AB78" s="251"/>
      <c r="AC78" s="249"/>
      <c r="AD78" s="249"/>
      <c r="AE78" s="249"/>
      <c r="AF78" s="249"/>
      <c r="AG78" s="249"/>
      <c r="AH78" s="249"/>
      <c r="AI78" s="249"/>
      <c r="AJ78" s="249"/>
      <c r="AK78" s="249"/>
      <c r="AL78" s="249"/>
      <c r="AM78" s="250"/>
      <c r="BF78" s="282" t="s">
        <v>252</v>
      </c>
      <c r="BG78" s="112">
        <f>SUM(BI59)</f>
        <v>5833.4314301638642</v>
      </c>
      <c r="CT78" s="289"/>
      <c r="CU78" s="285"/>
      <c r="CV78" s="284" t="s">
        <v>20</v>
      </c>
      <c r="CW78" s="283">
        <f>SUM(INDEX(サマリ!$M$1:$M$70,CW$70):INDEX(サマリ!$M$1:$M$70,CW$70))</f>
        <v>71.280000000000015</v>
      </c>
      <c r="CX78" s="283">
        <f>SUM(INDEX(サマリ!$M$1:$M$70,CX$70):INDEX(サマリ!$M$1:$M$70,CX$70))</f>
        <v>89.100000000000023</v>
      </c>
      <c r="CY78" s="283">
        <f>SUM(INDEX(サマリ!$M$1:$M$70,CY$70):INDEX(サマリ!$M$1:$M$70,CY$70))</f>
        <v>106.92000000000003</v>
      </c>
      <c r="CZ78" s="283">
        <f>SUM(INDEX(サマリ!$M$1:$M$70,CZ$70):INDEX(サマリ!$M$1:$M$70,CZ$70))</f>
        <v>106.92000000000003</v>
      </c>
      <c r="DA78" s="283">
        <f>SUM(INDEX(サマリ!$M$1:$M$70,DA$70):INDEX(サマリ!$M$1:$M$70,DA$70))</f>
        <v>106.92000000000003</v>
      </c>
      <c r="DB78" s="283">
        <f>SUM(INDEX(サマリ!$M$1:$M$70,DB$70):INDEX(サマリ!$M$1:$M$70,DB$70))</f>
        <v>106.92000000000003</v>
      </c>
      <c r="DD78" s="289"/>
      <c r="DE78" s="285"/>
      <c r="DF78" s="284" t="s">
        <v>20</v>
      </c>
      <c r="DG78" s="283">
        <f t="shared" ref="DG78:DG100" si="35">CW78/12*10000</f>
        <v>59400.000000000015</v>
      </c>
      <c r="DH78" s="283">
        <f t="shared" si="30"/>
        <v>74250.000000000015</v>
      </c>
      <c r="DI78" s="283">
        <f t="shared" si="31"/>
        <v>89100.000000000015</v>
      </c>
      <c r="DJ78" s="283">
        <f t="shared" si="32"/>
        <v>89100.000000000015</v>
      </c>
      <c r="DK78" s="283">
        <f t="shared" si="33"/>
        <v>89100.000000000015</v>
      </c>
      <c r="DL78" s="283">
        <f t="shared" si="34"/>
        <v>89100.000000000015</v>
      </c>
    </row>
    <row r="79" spans="2:116" outlineLevel="1" x14ac:dyDescent="0.25">
      <c r="B79" s="251"/>
      <c r="C79" s="249"/>
      <c r="D79" s="249"/>
      <c r="E79" s="252"/>
      <c r="F79" s="252"/>
      <c r="G79" s="252"/>
      <c r="H79" s="252"/>
      <c r="I79" s="252"/>
      <c r="J79" s="252"/>
      <c r="K79" s="252"/>
      <c r="L79" s="250"/>
      <c r="M79" s="251"/>
      <c r="N79" s="249"/>
      <c r="O79" s="252"/>
      <c r="P79" s="252"/>
      <c r="Q79" s="252"/>
      <c r="R79" s="252"/>
      <c r="S79" s="252"/>
      <c r="T79" s="250"/>
      <c r="U79" s="251"/>
      <c r="V79" s="249"/>
      <c r="W79" s="253"/>
      <c r="X79" s="253"/>
      <c r="Y79" s="253"/>
      <c r="Z79" s="249"/>
      <c r="AA79" s="250"/>
      <c r="AB79" s="251"/>
      <c r="AC79" s="249"/>
      <c r="AD79" s="249"/>
      <c r="AE79" s="249"/>
      <c r="AF79" s="249"/>
      <c r="AG79" s="249"/>
      <c r="AH79" s="249"/>
      <c r="AI79" s="249"/>
      <c r="AJ79" s="249"/>
      <c r="AK79" s="249"/>
      <c r="AL79" s="249"/>
      <c r="AM79" s="250"/>
      <c r="BF79" s="282" t="s">
        <v>253</v>
      </c>
      <c r="BG79" s="112">
        <f>SUM(BI61)</f>
        <v>2703</v>
      </c>
      <c r="CT79" s="290"/>
      <c r="CU79" s="286"/>
      <c r="CV79" s="282" t="s">
        <v>21</v>
      </c>
      <c r="CW79" s="283">
        <f>SUM(INDEX(サマリ!$N$1:$N$70,CW$70):INDEX(サマリ!$N$1:$N$70,CW$70))</f>
        <v>26.400000000000002</v>
      </c>
      <c r="CX79" s="283">
        <f>SUM(INDEX(サマリ!$N$1:$N$70,CX$70):INDEX(サマリ!$N$1:$N$70,CX$70))</f>
        <v>33</v>
      </c>
      <c r="CY79" s="283">
        <f>SUM(INDEX(サマリ!$N$1:$N$70,CY$70):INDEX(サマリ!$N$1:$N$70,CY$70))</f>
        <v>39.6</v>
      </c>
      <c r="CZ79" s="283">
        <f>SUM(INDEX(サマリ!$N$1:$N$70,CZ$70):INDEX(サマリ!$N$1:$N$70,CZ$70))</f>
        <v>39.6</v>
      </c>
      <c r="DA79" s="283">
        <f>SUM(INDEX(サマリ!$N$1:$N$70,DA$70):INDEX(サマリ!$N$1:$N$70,DA$70))</f>
        <v>39.6</v>
      </c>
      <c r="DB79" s="283">
        <f>SUM(INDEX(サマリ!$N$1:$N$70,DB$70):INDEX(サマリ!$N$1:$N$70,DB$70))</f>
        <v>39.6</v>
      </c>
      <c r="DD79" s="290"/>
      <c r="DE79" s="286"/>
      <c r="DF79" s="282" t="s">
        <v>21</v>
      </c>
      <c r="DG79" s="283">
        <f t="shared" si="35"/>
        <v>22000</v>
      </c>
      <c r="DH79" s="283">
        <f t="shared" si="30"/>
        <v>27500</v>
      </c>
      <c r="DI79" s="283">
        <f t="shared" si="31"/>
        <v>33000</v>
      </c>
      <c r="DJ79" s="283">
        <f t="shared" si="32"/>
        <v>33000</v>
      </c>
      <c r="DK79" s="283">
        <f t="shared" si="33"/>
        <v>33000</v>
      </c>
      <c r="DL79" s="283">
        <f t="shared" si="34"/>
        <v>33000</v>
      </c>
    </row>
    <row r="80" spans="2:116" outlineLevel="1" x14ac:dyDescent="0.25">
      <c r="B80" s="251"/>
      <c r="C80" s="249"/>
      <c r="D80" s="249"/>
      <c r="E80" s="252"/>
      <c r="F80" s="252"/>
      <c r="G80" s="252"/>
      <c r="H80" s="252"/>
      <c r="I80" s="252"/>
      <c r="J80" s="252"/>
      <c r="K80" s="252"/>
      <c r="L80" s="250"/>
      <c r="M80" s="251"/>
      <c r="N80" s="249"/>
      <c r="O80" s="252"/>
      <c r="P80" s="252"/>
      <c r="Q80" s="252"/>
      <c r="R80" s="252"/>
      <c r="S80" s="252"/>
      <c r="T80" s="250"/>
      <c r="U80" s="251"/>
      <c r="V80" s="249"/>
      <c r="W80" s="253"/>
      <c r="X80" s="253"/>
      <c r="Y80" s="253"/>
      <c r="Z80" s="249"/>
      <c r="AA80" s="250"/>
      <c r="AB80" s="251"/>
      <c r="AC80" s="249"/>
      <c r="AD80" s="249"/>
      <c r="AE80" s="249"/>
      <c r="AF80" s="249"/>
      <c r="AG80" s="249"/>
      <c r="AH80" s="249"/>
      <c r="AI80" s="249"/>
      <c r="AJ80" s="249"/>
      <c r="AK80" s="249"/>
      <c r="AL80" s="249"/>
      <c r="AM80" s="250"/>
      <c r="BF80" s="282" t="s">
        <v>595</v>
      </c>
      <c r="BG80" s="112">
        <f>SUM(BI62)</f>
        <v>797</v>
      </c>
      <c r="CT80" s="290"/>
      <c r="CU80" s="286"/>
      <c r="CV80" s="282" t="s">
        <v>22</v>
      </c>
      <c r="CW80" s="283">
        <f>SUM(INDEX(サマリ!$O$1:$O$70,CW$70):INDEX(サマリ!$O$1:$O$70,CW$70))</f>
        <v>9.9</v>
      </c>
      <c r="CX80" s="283">
        <f>SUM(INDEX(サマリ!$O$1:$O$70,CX$70):INDEX(サマリ!$O$1:$O$70,CX$70))</f>
        <v>11.55</v>
      </c>
      <c r="CY80" s="283">
        <f>SUM(INDEX(サマリ!$O$1:$O$70,CY$70):INDEX(サマリ!$O$1:$O$70,CY$70))</f>
        <v>13.200000000000001</v>
      </c>
      <c r="CZ80" s="283">
        <f>SUM(INDEX(サマリ!$O$1:$O$70,CZ$70):INDEX(サマリ!$O$1:$O$70,CZ$70))</f>
        <v>13.200000000000001</v>
      </c>
      <c r="DA80" s="283">
        <f>SUM(INDEX(サマリ!$O$1:$O$70,DA$70):INDEX(サマリ!$O$1:$O$70,DA$70))</f>
        <v>13.200000000000001</v>
      </c>
      <c r="DB80" s="283">
        <f>SUM(INDEX(サマリ!$O$1:$O$70,DB$70):INDEX(サマリ!$O$1:$O$70,DB$70))</f>
        <v>13.200000000000001</v>
      </c>
      <c r="DD80" s="290"/>
      <c r="DE80" s="286"/>
      <c r="DF80" s="282" t="s">
        <v>22</v>
      </c>
      <c r="DG80" s="283">
        <f t="shared" si="35"/>
        <v>8250</v>
      </c>
      <c r="DH80" s="283">
        <f t="shared" si="30"/>
        <v>9625</v>
      </c>
      <c r="DI80" s="283">
        <f t="shared" si="31"/>
        <v>11000</v>
      </c>
      <c r="DJ80" s="283">
        <f t="shared" si="32"/>
        <v>11000</v>
      </c>
      <c r="DK80" s="283">
        <f t="shared" si="33"/>
        <v>11000</v>
      </c>
      <c r="DL80" s="283">
        <f t="shared" si="34"/>
        <v>11000</v>
      </c>
    </row>
    <row r="81" spans="2:116" outlineLevel="1" x14ac:dyDescent="0.25">
      <c r="B81" s="251"/>
      <c r="C81" s="249"/>
      <c r="D81" s="249"/>
      <c r="E81" s="252"/>
      <c r="F81" s="252"/>
      <c r="G81" s="252"/>
      <c r="H81" s="252"/>
      <c r="I81" s="252"/>
      <c r="J81" s="252"/>
      <c r="K81" s="252"/>
      <c r="L81" s="250"/>
      <c r="M81" s="251"/>
      <c r="N81" s="249"/>
      <c r="O81" s="252"/>
      <c r="P81" s="252"/>
      <c r="Q81" s="252"/>
      <c r="R81" s="252"/>
      <c r="S81" s="252"/>
      <c r="T81" s="250"/>
      <c r="U81" s="251"/>
      <c r="V81" s="249"/>
      <c r="W81" s="253"/>
      <c r="X81" s="253"/>
      <c r="Y81" s="253"/>
      <c r="Z81" s="249"/>
      <c r="AA81" s="250"/>
      <c r="AB81" s="251"/>
      <c r="AC81" s="249"/>
      <c r="AD81" s="249"/>
      <c r="AE81" s="249"/>
      <c r="AF81" s="249"/>
      <c r="AG81" s="249"/>
      <c r="AH81" s="249"/>
      <c r="AI81" s="249"/>
      <c r="AJ81" s="249"/>
      <c r="AK81" s="249"/>
      <c r="AL81" s="249"/>
      <c r="AM81" s="250"/>
      <c r="BF81" s="282" t="s">
        <v>162</v>
      </c>
      <c r="BG81" s="112">
        <f>SUM(CW56:CZ56)</f>
        <v>2244</v>
      </c>
      <c r="CT81" s="290"/>
      <c r="CU81" s="286"/>
      <c r="CV81" s="282" t="s">
        <v>23</v>
      </c>
      <c r="CW81" s="283">
        <f>SUM(INDEX(サマリ!$P$1:$P$70,CW$70):INDEX(サマリ!$P$1:$P$70,CW$70))</f>
        <v>7.9200000000000017</v>
      </c>
      <c r="CX81" s="283">
        <f>SUM(INDEX(サマリ!$P$1:$P$70,CX$70):INDEX(サマリ!$P$1:$P$70,CX$70))</f>
        <v>9.240000000000002</v>
      </c>
      <c r="CY81" s="283">
        <f>SUM(INDEX(サマリ!$P$1:$P$70,CY$70):INDEX(サマリ!$P$1:$P$70,CY$70))</f>
        <v>10.560000000000002</v>
      </c>
      <c r="CZ81" s="283">
        <f>SUM(INDEX(サマリ!$P$1:$P$70,CZ$70):INDEX(サマリ!$P$1:$P$70,CZ$70))</f>
        <v>10.560000000000002</v>
      </c>
      <c r="DA81" s="283">
        <f>SUM(INDEX(サマリ!$P$1:$P$70,DA$70):INDEX(サマリ!$P$1:$P$70,DA$70))</f>
        <v>10.560000000000002</v>
      </c>
      <c r="DB81" s="283">
        <f>SUM(INDEX(サマリ!$P$1:$P$70,DB$70):INDEX(サマリ!$P$1:$P$70,DB$70))</f>
        <v>10.560000000000002</v>
      </c>
      <c r="DD81" s="290"/>
      <c r="DE81" s="286"/>
      <c r="DF81" s="282" t="s">
        <v>23</v>
      </c>
      <c r="DG81" s="283">
        <f t="shared" si="35"/>
        <v>6600.0000000000018</v>
      </c>
      <c r="DH81" s="283">
        <f t="shared" si="30"/>
        <v>7700.0000000000009</v>
      </c>
      <c r="DI81" s="283">
        <f t="shared" si="31"/>
        <v>8800.0000000000018</v>
      </c>
      <c r="DJ81" s="283">
        <f t="shared" si="32"/>
        <v>8800.0000000000018</v>
      </c>
      <c r="DK81" s="283">
        <f t="shared" si="33"/>
        <v>8800.0000000000018</v>
      </c>
      <c r="DL81" s="283">
        <f t="shared" si="34"/>
        <v>8800.0000000000018</v>
      </c>
    </row>
    <row r="82" spans="2:116" outlineLevel="1" x14ac:dyDescent="0.25">
      <c r="B82" s="251"/>
      <c r="C82" s="249"/>
      <c r="D82" s="249"/>
      <c r="E82" s="252"/>
      <c r="F82" s="252"/>
      <c r="G82" s="252"/>
      <c r="H82" s="252"/>
      <c r="I82" s="252"/>
      <c r="J82" s="252"/>
      <c r="K82" s="252"/>
      <c r="L82" s="250"/>
      <c r="M82" s="251"/>
      <c r="N82" s="249"/>
      <c r="O82" s="252"/>
      <c r="P82" s="252"/>
      <c r="Q82" s="252"/>
      <c r="R82" s="252"/>
      <c r="S82" s="252"/>
      <c r="T82" s="250"/>
      <c r="U82" s="251"/>
      <c r="V82" s="249"/>
      <c r="W82" s="253"/>
      <c r="X82" s="253"/>
      <c r="Y82" s="253"/>
      <c r="Z82" s="249"/>
      <c r="AA82" s="250"/>
      <c r="AB82" s="251"/>
      <c r="AC82" s="249"/>
      <c r="AD82" s="249"/>
      <c r="AE82" s="249"/>
      <c r="AF82" s="249"/>
      <c r="AG82" s="249"/>
      <c r="AH82" s="249"/>
      <c r="AI82" s="249"/>
      <c r="AJ82" s="249"/>
      <c r="AK82" s="249"/>
      <c r="AL82" s="249"/>
      <c r="AM82" s="250"/>
      <c r="BF82" s="372" t="s">
        <v>571</v>
      </c>
      <c r="BG82" s="112">
        <f>SUM(BZ53:CC54)</f>
        <v>432</v>
      </c>
      <c r="CT82" s="290"/>
      <c r="CU82" s="286"/>
      <c r="CV82" s="282" t="s">
        <v>24</v>
      </c>
      <c r="CW82" s="283">
        <f>SUM(INDEX(サマリ!$Q$1:$Q$70,CW$70):INDEX(サマリ!$Q$1:$Q$70,CW$70))</f>
        <v>4.95</v>
      </c>
      <c r="CX82" s="283">
        <f>SUM(INDEX(サマリ!$Q$1:$Q$70,CX$70):INDEX(サマリ!$Q$1:$Q$70,CX$70))</f>
        <v>5.7750000000000004</v>
      </c>
      <c r="CY82" s="283">
        <f>SUM(INDEX(サマリ!$Q$1:$Q$70,CY$70):INDEX(サマリ!$Q$1:$Q$70,CY$70))</f>
        <v>6.6000000000000005</v>
      </c>
      <c r="CZ82" s="283">
        <f>SUM(INDEX(サマリ!$Q$1:$Q$70,CZ$70):INDEX(サマリ!$Q$1:$Q$70,CZ$70))</f>
        <v>6.6000000000000005</v>
      </c>
      <c r="DA82" s="283">
        <f>SUM(INDEX(サマリ!$Q$1:$Q$70,DA$70):INDEX(サマリ!$Q$1:$Q$70,DA$70))</f>
        <v>6.6000000000000005</v>
      </c>
      <c r="DB82" s="283">
        <f>SUM(INDEX(サマリ!$Q$1:$Q$70,DB$70):INDEX(サマリ!$Q$1:$Q$70,DB$70))</f>
        <v>6.6000000000000005</v>
      </c>
      <c r="DD82" s="290"/>
      <c r="DE82" s="286"/>
      <c r="DF82" s="282" t="s">
        <v>24</v>
      </c>
      <c r="DG82" s="283">
        <f t="shared" si="35"/>
        <v>4125</v>
      </c>
      <c r="DH82" s="283">
        <f t="shared" si="30"/>
        <v>4812.5</v>
      </c>
      <c r="DI82" s="283">
        <f t="shared" si="31"/>
        <v>5500</v>
      </c>
      <c r="DJ82" s="283">
        <f t="shared" si="32"/>
        <v>5500</v>
      </c>
      <c r="DK82" s="283">
        <f t="shared" si="33"/>
        <v>5500</v>
      </c>
      <c r="DL82" s="283">
        <f t="shared" si="34"/>
        <v>5500</v>
      </c>
    </row>
    <row r="83" spans="2:116" outlineLevel="1" x14ac:dyDescent="0.25">
      <c r="B83" s="251"/>
      <c r="C83" s="249"/>
      <c r="D83" s="249"/>
      <c r="E83" s="252"/>
      <c r="F83" s="252"/>
      <c r="G83" s="252"/>
      <c r="H83" s="252"/>
      <c r="I83" s="252"/>
      <c r="J83" s="252"/>
      <c r="K83" s="252"/>
      <c r="L83" s="250"/>
      <c r="M83" s="251"/>
      <c r="N83" s="249"/>
      <c r="O83" s="252"/>
      <c r="P83" s="252"/>
      <c r="Q83" s="252"/>
      <c r="R83" s="252"/>
      <c r="S83" s="252"/>
      <c r="T83" s="250"/>
      <c r="U83" s="251"/>
      <c r="V83" s="249"/>
      <c r="W83" s="253"/>
      <c r="X83" s="253"/>
      <c r="Y83" s="253"/>
      <c r="Z83" s="249"/>
      <c r="AA83" s="250"/>
      <c r="AB83" s="251"/>
      <c r="AC83" s="249"/>
      <c r="AD83" s="249"/>
      <c r="AE83" s="249"/>
      <c r="AF83" s="249"/>
      <c r="AG83" s="249"/>
      <c r="AH83" s="249"/>
      <c r="AI83" s="249"/>
      <c r="AJ83" s="249"/>
      <c r="AK83" s="249"/>
      <c r="AL83" s="249"/>
      <c r="AM83" s="250"/>
      <c r="BF83" s="282" t="s">
        <v>620</v>
      </c>
      <c r="BG83" s="37">
        <f>SUM(BZ55:CC56)</f>
        <v>1608.7309</v>
      </c>
      <c r="CT83" s="290"/>
      <c r="CU83" s="286"/>
      <c r="CV83" s="282" t="s">
        <v>42</v>
      </c>
      <c r="CW83" s="283">
        <f>SUM(INDEX(サマリ!$R$1:$R$70,CW$70):INDEX(サマリ!$R$1:$R$70,CW$70))</f>
        <v>12</v>
      </c>
      <c r="CX83" s="283">
        <f>SUM(INDEX(サマリ!$R$1:$R$70,CX$70):INDEX(サマリ!$R$1:$R$70,CX$70))</f>
        <v>12</v>
      </c>
      <c r="CY83" s="283">
        <f>SUM(INDEX(サマリ!$R$1:$R$70,CY$70):INDEX(サマリ!$R$1:$R$70,CY$70))</f>
        <v>12</v>
      </c>
      <c r="CZ83" s="283">
        <f>SUM(INDEX(サマリ!$R$1:$R$70,CZ$70):INDEX(サマリ!$R$1:$R$70,CZ$70))</f>
        <v>12</v>
      </c>
      <c r="DA83" s="283">
        <f>SUM(INDEX(サマリ!$R$1:$R$70,DA$70):INDEX(サマリ!$R$1:$R$70,DA$70))</f>
        <v>12</v>
      </c>
      <c r="DB83" s="283">
        <f>SUM(INDEX(サマリ!$R$1:$R$70,DB$70):INDEX(サマリ!$R$1:$R$70,DB$70))</f>
        <v>12</v>
      </c>
      <c r="DD83" s="290"/>
      <c r="DE83" s="286"/>
      <c r="DF83" s="282" t="s">
        <v>42</v>
      </c>
      <c r="DG83" s="283">
        <f t="shared" si="35"/>
        <v>10000</v>
      </c>
      <c r="DH83" s="283">
        <f t="shared" si="30"/>
        <v>10000</v>
      </c>
      <c r="DI83" s="283">
        <f t="shared" si="31"/>
        <v>10000</v>
      </c>
      <c r="DJ83" s="283">
        <f t="shared" si="32"/>
        <v>10000</v>
      </c>
      <c r="DK83" s="283">
        <f t="shared" si="33"/>
        <v>10000</v>
      </c>
      <c r="DL83" s="283">
        <f t="shared" si="34"/>
        <v>10000</v>
      </c>
    </row>
    <row r="84" spans="2:116" outlineLevel="1" x14ac:dyDescent="0.25">
      <c r="B84" s="251"/>
      <c r="C84" s="249"/>
      <c r="D84" s="249"/>
      <c r="E84" s="252"/>
      <c r="F84" s="252"/>
      <c r="G84" s="252"/>
      <c r="H84" s="252"/>
      <c r="I84" s="252"/>
      <c r="J84" s="252"/>
      <c r="K84" s="252"/>
      <c r="L84" s="250"/>
      <c r="M84" s="251"/>
      <c r="N84" s="249"/>
      <c r="O84" s="252"/>
      <c r="P84" s="252"/>
      <c r="Q84" s="252"/>
      <c r="R84" s="252"/>
      <c r="S84" s="252"/>
      <c r="T84" s="250"/>
      <c r="U84" s="251"/>
      <c r="V84" s="252"/>
      <c r="W84" s="252"/>
      <c r="X84" s="253"/>
      <c r="Y84" s="253"/>
      <c r="Z84" s="249"/>
      <c r="AA84" s="250"/>
      <c r="AB84" s="251"/>
      <c r="AC84" s="249"/>
      <c r="AD84" s="249"/>
      <c r="AE84" s="249"/>
      <c r="AF84" s="249"/>
      <c r="AG84" s="249"/>
      <c r="AH84" s="249"/>
      <c r="AI84" s="249"/>
      <c r="AJ84" s="249"/>
      <c r="AK84" s="249"/>
      <c r="AL84" s="249"/>
      <c r="AM84" s="250"/>
      <c r="CT84" s="290"/>
      <c r="CU84" s="287" t="s">
        <v>440</v>
      </c>
      <c r="CV84" s="288"/>
      <c r="CW84" s="39">
        <f>SUM(CW78:CW83)</f>
        <v>132.45000000000005</v>
      </c>
      <c r="CX84" s="39">
        <f t="shared" ref="CX84:DB84" si="36">SUM(CX78:CX83)</f>
        <v>160.66500000000005</v>
      </c>
      <c r="CY84" s="39">
        <f t="shared" si="36"/>
        <v>188.88000000000002</v>
      </c>
      <c r="CZ84" s="39">
        <f t="shared" si="36"/>
        <v>188.88000000000002</v>
      </c>
      <c r="DA84" s="39">
        <f t="shared" si="36"/>
        <v>188.88000000000002</v>
      </c>
      <c r="DB84" s="39">
        <f t="shared" si="36"/>
        <v>188.88000000000002</v>
      </c>
      <c r="DD84" s="290"/>
      <c r="DE84" s="287" t="s">
        <v>440</v>
      </c>
      <c r="DF84" s="288"/>
      <c r="DG84" s="39">
        <f t="shared" si="35"/>
        <v>110375.00000000003</v>
      </c>
      <c r="DH84" s="39">
        <f t="shared" si="30"/>
        <v>133887.50000000003</v>
      </c>
      <c r="DI84" s="39">
        <f t="shared" si="31"/>
        <v>157400.00000000003</v>
      </c>
      <c r="DJ84" s="39">
        <f t="shared" si="32"/>
        <v>157400.00000000003</v>
      </c>
      <c r="DK84" s="39">
        <f t="shared" si="33"/>
        <v>157400.00000000003</v>
      </c>
      <c r="DL84" s="39">
        <f t="shared" si="34"/>
        <v>157400.00000000003</v>
      </c>
    </row>
    <row r="85" spans="2:116" outlineLevel="1" x14ac:dyDescent="0.25">
      <c r="B85" s="251"/>
      <c r="C85" s="249"/>
      <c r="D85" s="249"/>
      <c r="E85" s="252"/>
      <c r="F85" s="252"/>
      <c r="G85" s="252"/>
      <c r="H85" s="252"/>
      <c r="I85" s="252"/>
      <c r="J85" s="252"/>
      <c r="K85" s="252"/>
      <c r="L85" s="250"/>
      <c r="M85" s="251"/>
      <c r="N85" s="249"/>
      <c r="O85" s="252"/>
      <c r="P85" s="252"/>
      <c r="Q85" s="252"/>
      <c r="R85" s="252"/>
      <c r="S85" s="252"/>
      <c r="T85" s="250"/>
      <c r="U85" s="251"/>
      <c r="V85" s="252"/>
      <c r="W85" s="252"/>
      <c r="X85" s="253"/>
      <c r="Y85" s="253"/>
      <c r="Z85" s="249"/>
      <c r="AA85" s="250"/>
      <c r="AB85" s="251"/>
      <c r="AC85" s="249"/>
      <c r="AD85" s="249"/>
      <c r="AE85" s="249"/>
      <c r="AF85" s="249"/>
      <c r="AG85" s="249"/>
      <c r="AH85" s="249"/>
      <c r="AI85" s="249"/>
      <c r="AJ85" s="249"/>
      <c r="AK85" s="249"/>
      <c r="AL85" s="249"/>
      <c r="AM85" s="250"/>
      <c r="BG85" s="1">
        <f>-SUM(BZ44:CA44)</f>
        <v>-432</v>
      </c>
      <c r="CT85" s="290"/>
      <c r="CU85" s="286"/>
      <c r="CV85" s="282" t="s">
        <v>448</v>
      </c>
      <c r="CW85" s="283">
        <f>SUM(INDEX(サマリ!$V$1:$V$70,CW$70):INDEX(サマリ!$V$1:$V$70,CW$70))</f>
        <v>6</v>
      </c>
      <c r="CX85" s="283">
        <f>SUM(INDEX(サマリ!$V$1:$V$70,CX$70):INDEX(サマリ!$V$1:$V$70,CX$70))</f>
        <v>6</v>
      </c>
      <c r="CY85" s="283">
        <f>SUM(INDEX(サマリ!$V$1:$V$70,CY$70):INDEX(サマリ!$V$1:$V$70,CY$70))</f>
        <v>6</v>
      </c>
      <c r="CZ85" s="283">
        <f>SUM(INDEX(サマリ!$V$1:$V$70,CZ$70):INDEX(サマリ!$V$1:$V$70,CZ$70))</f>
        <v>6</v>
      </c>
      <c r="DA85" s="283">
        <f>SUM(INDEX(サマリ!$V$1:$V$70,DA$70):INDEX(サマリ!$V$1:$V$70,DA$70))</f>
        <v>6</v>
      </c>
      <c r="DB85" s="283">
        <f>SUM(INDEX(サマリ!$V$1:$V$70,DB$70):INDEX(サマリ!$V$1:$V$70,DB$70))</f>
        <v>6</v>
      </c>
      <c r="DD85" s="290"/>
      <c r="DE85" s="286"/>
      <c r="DF85" s="282" t="s">
        <v>448</v>
      </c>
      <c r="DG85" s="283">
        <f t="shared" si="35"/>
        <v>5000</v>
      </c>
      <c r="DH85" s="283">
        <f t="shared" si="30"/>
        <v>5000</v>
      </c>
      <c r="DI85" s="283">
        <f t="shared" si="31"/>
        <v>5000</v>
      </c>
      <c r="DJ85" s="283">
        <f t="shared" si="32"/>
        <v>5000</v>
      </c>
      <c r="DK85" s="283">
        <f t="shared" si="33"/>
        <v>5000</v>
      </c>
      <c r="DL85" s="283">
        <f t="shared" si="34"/>
        <v>5000</v>
      </c>
    </row>
    <row r="86" spans="2:116" outlineLevel="1" x14ac:dyDescent="0.25">
      <c r="B86" s="251"/>
      <c r="C86" s="249"/>
      <c r="D86" s="249"/>
      <c r="E86" s="252"/>
      <c r="F86" s="252"/>
      <c r="G86" s="252"/>
      <c r="H86" s="252"/>
      <c r="I86" s="252"/>
      <c r="J86" s="252"/>
      <c r="K86" s="252"/>
      <c r="L86" s="250"/>
      <c r="M86" s="251"/>
      <c r="N86" s="249"/>
      <c r="O86" s="252"/>
      <c r="P86" s="252"/>
      <c r="Q86" s="252"/>
      <c r="R86" s="252"/>
      <c r="S86" s="252"/>
      <c r="T86" s="250"/>
      <c r="U86" s="251"/>
      <c r="V86" s="249"/>
      <c r="W86" s="253"/>
      <c r="X86" s="253"/>
      <c r="Y86" s="253"/>
      <c r="Z86" s="249"/>
      <c r="AA86" s="250"/>
      <c r="AB86" s="251"/>
      <c r="AC86" s="249"/>
      <c r="AD86" s="249"/>
      <c r="AE86" s="249"/>
      <c r="AF86" s="249"/>
      <c r="AG86" s="249"/>
      <c r="AH86" s="249"/>
      <c r="AI86" s="249"/>
      <c r="AJ86" s="249"/>
      <c r="AK86" s="249"/>
      <c r="AL86" s="249"/>
      <c r="AM86" s="250"/>
      <c r="BG86" s="1">
        <f>SUM(BG73:BG85)</f>
        <v>20440.492330163866</v>
      </c>
      <c r="CT86" s="290"/>
      <c r="CU86" s="286"/>
      <c r="CV86" s="282" t="s">
        <v>449</v>
      </c>
      <c r="CW86" s="283">
        <f>SUM(INDEX(サマリ!$W$1:$W$70,CW$70):INDEX(サマリ!$W$1:$W$70,CW$70))</f>
        <v>4.8000000000000007</v>
      </c>
      <c r="CX86" s="283">
        <f>SUM(INDEX(サマリ!$W$1:$W$70,CX$70):INDEX(サマリ!$W$1:$W$70,CX$70))</f>
        <v>4.8000000000000007</v>
      </c>
      <c r="CY86" s="283">
        <f>SUM(INDEX(サマリ!$W$1:$W$70,CY$70):INDEX(サマリ!$W$1:$W$70,CY$70))</f>
        <v>4.8000000000000007</v>
      </c>
      <c r="CZ86" s="283">
        <f>SUM(INDEX(サマリ!$W$1:$W$70,CZ$70):INDEX(サマリ!$W$1:$W$70,CZ$70))</f>
        <v>7.2000000000000011</v>
      </c>
      <c r="DA86" s="283">
        <f>SUM(INDEX(サマリ!$W$1:$W$70,DA$70):INDEX(サマリ!$W$1:$W$70,DA$70))</f>
        <v>9.6000000000000014</v>
      </c>
      <c r="DB86" s="283">
        <f>SUM(INDEX(サマリ!$W$1:$W$70,DB$70):INDEX(サマリ!$W$1:$W$70,DB$70))</f>
        <v>9.6000000000000014</v>
      </c>
      <c r="DD86" s="290"/>
      <c r="DE86" s="286"/>
      <c r="DF86" s="282" t="s">
        <v>449</v>
      </c>
      <c r="DG86" s="283">
        <f t="shared" si="35"/>
        <v>4000.0000000000009</v>
      </c>
      <c r="DH86" s="283">
        <f t="shared" si="30"/>
        <v>4000.0000000000009</v>
      </c>
      <c r="DI86" s="283">
        <f t="shared" si="31"/>
        <v>4000.0000000000009</v>
      </c>
      <c r="DJ86" s="283">
        <f t="shared" si="32"/>
        <v>6000.0000000000009</v>
      </c>
      <c r="DK86" s="283">
        <f t="shared" si="33"/>
        <v>8000.0000000000018</v>
      </c>
      <c r="DL86" s="283">
        <f t="shared" si="34"/>
        <v>8000.0000000000018</v>
      </c>
    </row>
    <row r="87" spans="2:116" outlineLevel="1" x14ac:dyDescent="0.25">
      <c r="B87" s="251"/>
      <c r="C87" s="249"/>
      <c r="D87" s="249"/>
      <c r="E87" s="252"/>
      <c r="F87" s="252"/>
      <c r="G87" s="252"/>
      <c r="H87" s="252"/>
      <c r="I87" s="252"/>
      <c r="J87" s="252"/>
      <c r="K87" s="252"/>
      <c r="L87" s="250"/>
      <c r="M87" s="251"/>
      <c r="N87" s="249"/>
      <c r="O87" s="252"/>
      <c r="P87" s="252"/>
      <c r="Q87" s="252"/>
      <c r="R87" s="252"/>
      <c r="S87" s="252"/>
      <c r="T87" s="250"/>
      <c r="U87" s="251"/>
      <c r="V87" s="249"/>
      <c r="W87" s="253"/>
      <c r="X87" s="253"/>
      <c r="Y87" s="253"/>
      <c r="Z87" s="249"/>
      <c r="AA87" s="250"/>
      <c r="AB87" s="251"/>
      <c r="AC87" s="249"/>
      <c r="AD87" s="249"/>
      <c r="AE87" s="249"/>
      <c r="AF87" s="249"/>
      <c r="AG87" s="249"/>
      <c r="AH87" s="249"/>
      <c r="AI87" s="249"/>
      <c r="AJ87" s="249"/>
      <c r="AK87" s="249"/>
      <c r="AL87" s="249"/>
      <c r="AM87" s="250"/>
      <c r="CT87" s="290"/>
      <c r="CU87" s="286"/>
      <c r="CV87" s="282" t="s">
        <v>162</v>
      </c>
      <c r="CW87" s="283">
        <f>SUM(INDEX(サマリ!$AE$1:$AE$70,CW$70):INDEX(サマリ!$AE$1:$AE$70,CW$70))</f>
        <v>48</v>
      </c>
      <c r="CX87" s="283">
        <f>SUM(INDEX(サマリ!$AE$1:$AE$70,CX$70):INDEX(サマリ!$AE$1:$AE$70,CX$70))</f>
        <v>54</v>
      </c>
      <c r="CY87" s="283">
        <f>SUM(INDEX(サマリ!$AE$1:$AE$70,CY$70):INDEX(サマリ!$AE$1:$AE$70,CY$70))</f>
        <v>60</v>
      </c>
      <c r="CZ87" s="283">
        <f>SUM(INDEX(サマリ!$AE$1:$AE$70,CZ$70):INDEX(サマリ!$AE$1:$AE$70,CZ$70))</f>
        <v>60</v>
      </c>
      <c r="DA87" s="283">
        <f>SUM(INDEX(サマリ!$AE$1:$AE$70,DA$70):INDEX(サマリ!$AE$1:$AE$70,DA$70))</f>
        <v>60</v>
      </c>
      <c r="DB87" s="283">
        <f>SUM(INDEX(サマリ!$AE$1:$AE$70,DB$70):INDEX(サマリ!$AE$1:$AE$70,DB$70))</f>
        <v>54</v>
      </c>
      <c r="DD87" s="290"/>
      <c r="DE87" s="286"/>
      <c r="DF87" s="282" t="s">
        <v>162</v>
      </c>
      <c r="DG87" s="283">
        <f t="shared" si="35"/>
        <v>40000</v>
      </c>
      <c r="DH87" s="283">
        <f t="shared" si="30"/>
        <v>45000</v>
      </c>
      <c r="DI87" s="283">
        <f t="shared" si="31"/>
        <v>50000</v>
      </c>
      <c r="DJ87" s="283">
        <f t="shared" si="32"/>
        <v>50000</v>
      </c>
      <c r="DK87" s="283">
        <f t="shared" si="33"/>
        <v>50000</v>
      </c>
      <c r="DL87" s="283">
        <f t="shared" si="34"/>
        <v>45000</v>
      </c>
    </row>
    <row r="88" spans="2:116" outlineLevel="1" x14ac:dyDescent="0.25">
      <c r="B88" s="251"/>
      <c r="C88" s="249"/>
      <c r="D88" s="249"/>
      <c r="E88" s="252"/>
      <c r="F88" s="252"/>
      <c r="G88" s="252"/>
      <c r="H88" s="252"/>
      <c r="I88" s="252"/>
      <c r="J88" s="252"/>
      <c r="K88" s="252"/>
      <c r="L88" s="250"/>
      <c r="M88" s="251"/>
      <c r="N88" s="249"/>
      <c r="O88" s="252"/>
      <c r="P88" s="252"/>
      <c r="Q88" s="252"/>
      <c r="R88" s="252"/>
      <c r="S88" s="252"/>
      <c r="T88" s="250"/>
      <c r="U88" s="251"/>
      <c r="V88" s="249"/>
      <c r="W88" s="253"/>
      <c r="X88" s="253"/>
      <c r="Y88" s="253"/>
      <c r="Z88" s="249"/>
      <c r="AA88" s="250"/>
      <c r="AB88" s="251"/>
      <c r="AC88" s="249"/>
      <c r="AD88" s="249"/>
      <c r="AE88" s="249"/>
      <c r="AF88" s="249"/>
      <c r="AG88" s="249"/>
      <c r="AH88" s="249"/>
      <c r="AI88" s="249"/>
      <c r="AJ88" s="249"/>
      <c r="AK88" s="249"/>
      <c r="AL88" s="249"/>
      <c r="AM88" s="250"/>
      <c r="BG88" s="1">
        <f>SUM(BI57,BI63)</f>
        <v>20440.492330163866</v>
      </c>
      <c r="CT88" s="290"/>
      <c r="CU88" s="286"/>
      <c r="CV88" s="282" t="s">
        <v>575</v>
      </c>
      <c r="CW88" s="283">
        <f>SUM(INDEX(サマリ!$X$1:$X$70,CW$70):INDEX(サマリ!$Y$1:$Y$70,CW$70))</f>
        <v>0</v>
      </c>
      <c r="CX88" s="283">
        <f>SUM(INDEX(サマリ!$X$1:$X$70,CX$70):INDEX(サマリ!$Y$1:$Y$70,CX$70))</f>
        <v>0</v>
      </c>
      <c r="CY88" s="283">
        <f>SUM(INDEX(サマリ!$X$1:$X$70,CY$70):INDEX(サマリ!$Y$1:$Y$70,CY$70))</f>
        <v>24</v>
      </c>
      <c r="CZ88" s="283">
        <f>SUM(INDEX(サマリ!$X$1:$X$70,CZ$70):INDEX(サマリ!$Y$1:$Y$70,CZ$70))</f>
        <v>24</v>
      </c>
      <c r="DA88" s="283">
        <f>SUM(INDEX(サマリ!$X$1:$X$70,DA$70):INDEX(サマリ!$Y$1:$Y$70,DA$70))</f>
        <v>36</v>
      </c>
      <c r="DB88" s="283">
        <f>SUM(INDEX(サマリ!$X$1:$X$70,DB$70):INDEX(サマリ!$Y$1:$Y$70,DB$70))</f>
        <v>0</v>
      </c>
      <c r="DD88" s="290"/>
      <c r="DE88" s="286"/>
      <c r="DF88" s="282" t="s">
        <v>571</v>
      </c>
      <c r="DG88" s="283">
        <f t="shared" si="35"/>
        <v>0</v>
      </c>
      <c r="DH88" s="283">
        <f t="shared" si="30"/>
        <v>0</v>
      </c>
      <c r="DI88" s="283">
        <f t="shared" si="31"/>
        <v>20000</v>
      </c>
      <c r="DJ88" s="283">
        <f t="shared" si="32"/>
        <v>20000</v>
      </c>
      <c r="DK88" s="283">
        <f t="shared" si="33"/>
        <v>30000</v>
      </c>
      <c r="DL88" s="283">
        <f t="shared" si="34"/>
        <v>0</v>
      </c>
    </row>
    <row r="89" spans="2:116" outlineLevel="1" x14ac:dyDescent="0.25">
      <c r="B89" s="251"/>
      <c r="C89" s="249"/>
      <c r="D89" s="249"/>
      <c r="E89" s="252"/>
      <c r="F89" s="252"/>
      <c r="G89" s="252"/>
      <c r="H89" s="252"/>
      <c r="I89" s="252"/>
      <c r="J89" s="252"/>
      <c r="K89" s="252"/>
      <c r="L89" s="250"/>
      <c r="M89" s="251"/>
      <c r="N89" s="249"/>
      <c r="O89" s="252"/>
      <c r="P89" s="252"/>
      <c r="Q89" s="252"/>
      <c r="R89" s="252"/>
      <c r="S89" s="252"/>
      <c r="T89" s="250"/>
      <c r="U89" s="251"/>
      <c r="V89" s="249"/>
      <c r="W89" s="253"/>
      <c r="X89" s="253"/>
      <c r="Y89" s="253"/>
      <c r="Z89" s="249"/>
      <c r="AA89" s="250"/>
      <c r="AB89" s="251"/>
      <c r="AC89" s="249"/>
      <c r="AD89" s="249"/>
      <c r="AE89" s="249"/>
      <c r="AF89" s="249"/>
      <c r="AG89" s="249"/>
      <c r="AH89" s="249"/>
      <c r="AI89" s="249"/>
      <c r="AJ89" s="249"/>
      <c r="AK89" s="249"/>
      <c r="AL89" s="249"/>
      <c r="AM89" s="250"/>
      <c r="CT89" s="290"/>
      <c r="CU89" s="287" t="s">
        <v>440</v>
      </c>
      <c r="CV89" s="288"/>
      <c r="CW89" s="39">
        <f>SUM(CW85:CW88)</f>
        <v>58.8</v>
      </c>
      <c r="CX89" s="39">
        <f t="shared" ref="CX89:DB89" si="37">SUM(CX85:CX88)</f>
        <v>64.8</v>
      </c>
      <c r="CY89" s="39">
        <f t="shared" si="37"/>
        <v>94.8</v>
      </c>
      <c r="CZ89" s="39">
        <f t="shared" si="37"/>
        <v>97.2</v>
      </c>
      <c r="DA89" s="39">
        <f t="shared" si="37"/>
        <v>111.6</v>
      </c>
      <c r="DB89" s="39">
        <f t="shared" si="37"/>
        <v>69.599999999999994</v>
      </c>
      <c r="DD89" s="290"/>
      <c r="DE89" s="287" t="s">
        <v>440</v>
      </c>
      <c r="DF89" s="288"/>
      <c r="DG89" s="39">
        <f t="shared" si="35"/>
        <v>48999.999999999993</v>
      </c>
      <c r="DH89" s="39">
        <f t="shared" si="30"/>
        <v>53999.999999999993</v>
      </c>
      <c r="DI89" s="39">
        <f t="shared" si="31"/>
        <v>79000</v>
      </c>
      <c r="DJ89" s="39">
        <f t="shared" si="32"/>
        <v>81000</v>
      </c>
      <c r="DK89" s="39">
        <f t="shared" si="33"/>
        <v>92999.999999999985</v>
      </c>
      <c r="DL89" s="39">
        <f t="shared" si="34"/>
        <v>58000</v>
      </c>
    </row>
    <row r="90" spans="2:116" outlineLevel="1" x14ac:dyDescent="0.25">
      <c r="B90" s="251"/>
      <c r="C90" s="249"/>
      <c r="D90" s="249"/>
      <c r="E90" s="252"/>
      <c r="F90" s="252"/>
      <c r="G90" s="252"/>
      <c r="H90" s="252"/>
      <c r="I90" s="252"/>
      <c r="J90" s="252"/>
      <c r="K90" s="252"/>
      <c r="L90" s="250"/>
      <c r="M90" s="251"/>
      <c r="N90" s="249"/>
      <c r="O90" s="249"/>
      <c r="P90" s="249"/>
      <c r="Q90" s="249"/>
      <c r="R90" s="249"/>
      <c r="S90" s="249"/>
      <c r="T90" s="250"/>
      <c r="U90" s="251"/>
      <c r="V90" s="249"/>
      <c r="W90" s="253"/>
      <c r="X90" s="253"/>
      <c r="Y90" s="253"/>
      <c r="Z90" s="249"/>
      <c r="AA90" s="250"/>
      <c r="AB90" s="251"/>
      <c r="AC90" s="249"/>
      <c r="AD90" s="249"/>
      <c r="AE90" s="249"/>
      <c r="AF90" s="249"/>
      <c r="AG90" s="249"/>
      <c r="AH90" s="249"/>
      <c r="AI90" s="249"/>
      <c r="AJ90" s="249"/>
      <c r="AK90" s="249"/>
      <c r="AL90" s="249"/>
      <c r="AM90" s="250"/>
      <c r="CT90" s="291" t="s">
        <v>35</v>
      </c>
      <c r="CU90" s="292"/>
      <c r="CV90" s="292"/>
      <c r="CW90" s="311">
        <f>SUM(CW84,CW89)</f>
        <v>191.25000000000006</v>
      </c>
      <c r="CX90" s="311">
        <f t="shared" ref="CX90:DB90" si="38">SUM(CX84,CX89)</f>
        <v>225.46500000000003</v>
      </c>
      <c r="CY90" s="311">
        <f t="shared" si="38"/>
        <v>283.68</v>
      </c>
      <c r="CZ90" s="311">
        <f t="shared" si="38"/>
        <v>286.08000000000004</v>
      </c>
      <c r="DA90" s="311">
        <f t="shared" si="38"/>
        <v>300.48</v>
      </c>
      <c r="DB90" s="311">
        <f t="shared" si="38"/>
        <v>258.48</v>
      </c>
      <c r="DD90" s="291" t="s">
        <v>35</v>
      </c>
      <c r="DE90" s="292"/>
      <c r="DF90" s="292"/>
      <c r="DG90" s="311">
        <f t="shared" si="35"/>
        <v>159375.00000000006</v>
      </c>
      <c r="DH90" s="311">
        <f t="shared" si="30"/>
        <v>187887.50000000003</v>
      </c>
      <c r="DI90" s="311">
        <f t="shared" si="31"/>
        <v>236400</v>
      </c>
      <c r="DJ90" s="311">
        <f t="shared" si="32"/>
        <v>238400.00000000003</v>
      </c>
      <c r="DK90" s="311">
        <f t="shared" si="33"/>
        <v>250400.00000000003</v>
      </c>
      <c r="DL90" s="311">
        <f t="shared" si="34"/>
        <v>215400.00000000003</v>
      </c>
    </row>
    <row r="91" spans="2:116" outlineLevel="1" x14ac:dyDescent="0.25">
      <c r="B91" s="251"/>
      <c r="C91" s="249"/>
      <c r="D91" s="249"/>
      <c r="E91" s="252"/>
      <c r="F91" s="252"/>
      <c r="G91" s="252"/>
      <c r="H91" s="252"/>
      <c r="I91" s="252"/>
      <c r="J91" s="252"/>
      <c r="K91" s="252"/>
      <c r="L91" s="250"/>
      <c r="M91" s="251"/>
      <c r="N91" s="249"/>
      <c r="O91" s="249"/>
      <c r="P91" s="249"/>
      <c r="Q91" s="249"/>
      <c r="R91" s="249"/>
      <c r="S91" s="249"/>
      <c r="T91" s="250"/>
      <c r="U91" s="251"/>
      <c r="V91" s="249"/>
      <c r="W91" s="253"/>
      <c r="X91" s="253"/>
      <c r="Y91" s="253"/>
      <c r="Z91" s="249"/>
      <c r="AA91" s="250"/>
      <c r="AB91" s="251"/>
      <c r="AC91" s="249"/>
      <c r="AD91" s="249"/>
      <c r="AE91" s="249"/>
      <c r="AF91" s="249"/>
      <c r="AG91" s="249"/>
      <c r="AH91" s="249"/>
      <c r="AI91" s="249"/>
      <c r="AJ91" s="249"/>
      <c r="AK91" s="249"/>
      <c r="AL91" s="249"/>
      <c r="AM91" s="250"/>
      <c r="CT91" s="295" t="s">
        <v>450</v>
      </c>
      <c r="CU91" s="296"/>
      <c r="CV91" s="296"/>
      <c r="CW91" s="297">
        <f>CW77-CW90</f>
        <v>165.32079999999991</v>
      </c>
      <c r="CX91" s="297">
        <f t="shared" ref="CX91:DB91" si="39">CX77-CX90</f>
        <v>171.24408799999998</v>
      </c>
      <c r="CY91" s="297">
        <f t="shared" si="39"/>
        <v>174.73492799999997</v>
      </c>
      <c r="CZ91" s="297">
        <f t="shared" si="39"/>
        <v>249.71699999999998</v>
      </c>
      <c r="DA91" s="297">
        <f t="shared" si="39"/>
        <v>268.21136999999999</v>
      </c>
      <c r="DB91" s="297">
        <f t="shared" si="39"/>
        <v>338.71913799999993</v>
      </c>
      <c r="DD91" s="295" t="s">
        <v>450</v>
      </c>
      <c r="DE91" s="296"/>
      <c r="DF91" s="296"/>
      <c r="DG91" s="297">
        <f t="shared" si="35"/>
        <v>137767.33333333326</v>
      </c>
      <c r="DH91" s="297">
        <f t="shared" si="30"/>
        <v>142703.40666666665</v>
      </c>
      <c r="DI91" s="297">
        <f t="shared" si="31"/>
        <v>145612.43999999997</v>
      </c>
      <c r="DJ91" s="297">
        <f t="shared" si="32"/>
        <v>208097.49999999997</v>
      </c>
      <c r="DK91" s="297">
        <f t="shared" si="33"/>
        <v>223509.47500000001</v>
      </c>
      <c r="DL91" s="297">
        <f t="shared" si="34"/>
        <v>282265.94833333325</v>
      </c>
    </row>
    <row r="92" spans="2:116" outlineLevel="1" x14ac:dyDescent="0.25">
      <c r="B92" s="251"/>
      <c r="C92" s="249"/>
      <c r="D92" s="249"/>
      <c r="E92" s="252"/>
      <c r="F92" s="252"/>
      <c r="G92" s="252"/>
      <c r="H92" s="252"/>
      <c r="I92" s="252"/>
      <c r="J92" s="252"/>
      <c r="K92" s="252"/>
      <c r="L92" s="250"/>
      <c r="M92" s="251"/>
      <c r="N92" s="249"/>
      <c r="O92" s="249"/>
      <c r="P92" s="249"/>
      <c r="Q92" s="249"/>
      <c r="R92" s="249"/>
      <c r="S92" s="249"/>
      <c r="T92" s="250"/>
      <c r="U92" s="251"/>
      <c r="V92" s="249"/>
      <c r="W92" s="253"/>
      <c r="X92" s="253"/>
      <c r="Y92" s="253"/>
      <c r="Z92" s="249"/>
      <c r="AA92" s="250"/>
      <c r="AB92" s="251"/>
      <c r="AC92" s="249"/>
      <c r="AD92" s="249"/>
      <c r="AE92" s="249"/>
      <c r="AF92" s="249"/>
      <c r="AG92" s="249"/>
      <c r="AH92" s="249"/>
      <c r="AI92" s="249"/>
      <c r="AJ92" s="249"/>
      <c r="AK92" s="249"/>
      <c r="AL92" s="249"/>
      <c r="AM92" s="250"/>
      <c r="CT92" s="289"/>
      <c r="CU92" s="86" t="s">
        <v>252</v>
      </c>
      <c r="CV92" s="86"/>
      <c r="CW92" s="112">
        <f>SUM(INDEX(サマリ!$K$1:$K$70,CW$70):INDEX(サマリ!$L$1:$L$70,CW$70))</f>
        <v>96</v>
      </c>
      <c r="CX92" s="112">
        <f>SUM(INDEX(サマリ!$K$1:$K$70,CX$70):INDEX(サマリ!$L$1:$L$70,CX$70))</f>
        <v>96</v>
      </c>
      <c r="CY92" s="112">
        <f>SUM(INDEX(サマリ!$K$1:$K$70,CY$70):INDEX(サマリ!$L$1:$L$70,CY$70))</f>
        <v>124.71560348895547</v>
      </c>
      <c r="CZ92" s="112">
        <f>SUM(INDEX(サマリ!$K$1:$K$70,CZ$70):INDEX(サマリ!$L$1:$L$70,CZ$70))</f>
        <v>129.79002316662653</v>
      </c>
      <c r="DA92" s="112">
        <f>SUM(INDEX(サマリ!$K$1:$K$70,DA$70):INDEX(サマリ!$L$1:$L$70,DA$70))</f>
        <v>161.68168355342124</v>
      </c>
      <c r="DB92" s="112">
        <f>SUM(INDEX(サマリ!$K$1:$K$70,DB$70):INDEX(サマリ!$L$1:$L$70,DB$70))</f>
        <v>160.10584355342124</v>
      </c>
      <c r="DD92" s="289"/>
      <c r="DE92" s="86" t="s">
        <v>252</v>
      </c>
      <c r="DF92" s="86"/>
      <c r="DG92" s="112">
        <f t="shared" si="35"/>
        <v>80000</v>
      </c>
      <c r="DH92" s="112">
        <f t="shared" si="30"/>
        <v>80000</v>
      </c>
      <c r="DI92" s="112">
        <f t="shared" si="31"/>
        <v>103929.66957412956</v>
      </c>
      <c r="DJ92" s="112">
        <f t="shared" si="32"/>
        <v>108158.35263885545</v>
      </c>
      <c r="DK92" s="112">
        <f t="shared" si="33"/>
        <v>134734.7362945177</v>
      </c>
      <c r="DL92" s="112">
        <f t="shared" si="34"/>
        <v>133421.53629451772</v>
      </c>
    </row>
    <row r="93" spans="2:116" outlineLevel="1" x14ac:dyDescent="0.25">
      <c r="B93" s="251"/>
      <c r="C93" s="249"/>
      <c r="D93" s="249"/>
      <c r="E93" s="252"/>
      <c r="F93" s="252"/>
      <c r="G93" s="252"/>
      <c r="H93" s="252"/>
      <c r="I93" s="252"/>
      <c r="J93" s="252"/>
      <c r="K93" s="252"/>
      <c r="L93" s="250"/>
      <c r="M93" s="251"/>
      <c r="N93" s="249"/>
      <c r="O93" s="249"/>
      <c r="P93" s="249"/>
      <c r="Q93" s="249"/>
      <c r="R93" s="249"/>
      <c r="S93" s="249"/>
      <c r="T93" s="250"/>
      <c r="U93" s="251"/>
      <c r="V93" s="249"/>
      <c r="W93" s="253"/>
      <c r="X93" s="253"/>
      <c r="Y93" s="253"/>
      <c r="Z93" s="249"/>
      <c r="AA93" s="250"/>
      <c r="AB93" s="251"/>
      <c r="AC93" s="249"/>
      <c r="AD93" s="249"/>
      <c r="AE93" s="249"/>
      <c r="AF93" s="249"/>
      <c r="AG93" s="249"/>
      <c r="AH93" s="249"/>
      <c r="AI93" s="249"/>
      <c r="AJ93" s="249"/>
      <c r="AK93" s="249"/>
      <c r="AL93" s="249"/>
      <c r="AM93" s="250"/>
      <c r="CT93" s="290"/>
      <c r="CU93" s="86" t="s">
        <v>566</v>
      </c>
      <c r="CV93" s="86"/>
      <c r="CW93" s="112">
        <f>SUM(INDEX(サマリ!$AJ$1:$AJ$70,CW$70):INDEX(サマリ!$AJ$1:$AJ$70,CW$70))</f>
        <v>21.5</v>
      </c>
      <c r="CX93" s="112">
        <f>SUM(INDEX(サマリ!$AJ$1:$AJ$70,CX$70):INDEX(サマリ!$AJ$1:$AJ$70,CX$70))</f>
        <v>21.5</v>
      </c>
      <c r="CY93" s="112">
        <f>SUM(INDEX(サマリ!$AJ$1:$AJ$70,CY$70):INDEX(サマリ!$AJ$1:$AJ$70,CY$70))</f>
        <v>21.5</v>
      </c>
      <c r="CZ93" s="112">
        <f>SUM(INDEX(サマリ!$AJ$1:$AJ$70,CZ$70):INDEX(サマリ!$AJ$1:$AJ$70,CZ$70))</f>
        <v>21.5</v>
      </c>
      <c r="DA93" s="112">
        <f>SUM(INDEX(サマリ!$AJ$1:$AJ$70,DA$70):INDEX(サマリ!$AJ$1:$AJ$70,DA$70))</f>
        <v>21.5</v>
      </c>
      <c r="DB93" s="112">
        <f>SUM(INDEX(サマリ!$AJ$1:$AJ$70,DB$70):INDEX(サマリ!$AJ$1:$AJ$70,DB$70))</f>
        <v>21.5</v>
      </c>
      <c r="DD93" s="290"/>
      <c r="DE93" s="86" t="s">
        <v>566</v>
      </c>
      <c r="DF93" s="86"/>
      <c r="DG93" s="112">
        <f t="shared" si="35"/>
        <v>17916.666666666668</v>
      </c>
      <c r="DH93" s="112">
        <f t="shared" si="30"/>
        <v>17916.666666666668</v>
      </c>
      <c r="DI93" s="112">
        <f t="shared" si="31"/>
        <v>17916.666666666668</v>
      </c>
      <c r="DJ93" s="112">
        <f t="shared" si="32"/>
        <v>17916.666666666668</v>
      </c>
      <c r="DK93" s="112">
        <f t="shared" si="33"/>
        <v>17916.666666666668</v>
      </c>
      <c r="DL93" s="112">
        <f t="shared" si="34"/>
        <v>17916.666666666668</v>
      </c>
    </row>
    <row r="94" spans="2:116" outlineLevel="1" x14ac:dyDescent="0.25">
      <c r="B94" s="251"/>
      <c r="C94" s="249"/>
      <c r="D94" s="249"/>
      <c r="E94" s="252"/>
      <c r="F94" s="252"/>
      <c r="G94" s="252"/>
      <c r="H94" s="252"/>
      <c r="I94" s="252"/>
      <c r="J94" s="252"/>
      <c r="K94" s="252"/>
      <c r="L94" s="250"/>
      <c r="M94" s="251"/>
      <c r="N94" s="249"/>
      <c r="O94" s="249"/>
      <c r="P94" s="249"/>
      <c r="Q94" s="249"/>
      <c r="R94" s="249"/>
      <c r="S94" s="249"/>
      <c r="T94" s="250"/>
      <c r="U94" s="251"/>
      <c r="V94" s="249"/>
      <c r="W94" s="253"/>
      <c r="X94" s="253"/>
      <c r="Y94" s="253"/>
      <c r="Z94" s="249"/>
      <c r="AA94" s="250"/>
      <c r="AB94" s="251"/>
      <c r="AC94" s="249"/>
      <c r="AD94" s="249"/>
      <c r="AE94" s="249"/>
      <c r="AF94" s="249"/>
      <c r="AG94" s="249"/>
      <c r="AH94" s="249"/>
      <c r="AI94" s="249"/>
      <c r="AJ94" s="249"/>
      <c r="AK94" s="249"/>
      <c r="AL94" s="249"/>
      <c r="AM94" s="250"/>
      <c r="CT94" s="291" t="s">
        <v>455</v>
      </c>
      <c r="CU94" s="292"/>
      <c r="CV94" s="292"/>
      <c r="CW94" s="311">
        <f>SUM(CW92:CW93)</f>
        <v>117.5</v>
      </c>
      <c r="CX94" s="311">
        <f t="shared" ref="CX94:DB94" si="40">SUM(CX92:CX93)</f>
        <v>117.5</v>
      </c>
      <c r="CY94" s="311">
        <f t="shared" si="40"/>
        <v>146.21560348895548</v>
      </c>
      <c r="CZ94" s="311">
        <f t="shared" si="40"/>
        <v>151.29002316662653</v>
      </c>
      <c r="DA94" s="311">
        <f t="shared" si="40"/>
        <v>183.18168355342124</v>
      </c>
      <c r="DB94" s="311">
        <f t="shared" si="40"/>
        <v>181.60584355342124</v>
      </c>
      <c r="DD94" s="291" t="s">
        <v>455</v>
      </c>
      <c r="DE94" s="292"/>
      <c r="DF94" s="292"/>
      <c r="DG94" s="311">
        <f t="shared" si="35"/>
        <v>97916.666666666657</v>
      </c>
      <c r="DH94" s="311">
        <f t="shared" si="30"/>
        <v>97916.666666666657</v>
      </c>
      <c r="DI94" s="311">
        <f t="shared" si="31"/>
        <v>121846.33624079623</v>
      </c>
      <c r="DJ94" s="311">
        <f t="shared" si="32"/>
        <v>126075.0193055221</v>
      </c>
      <c r="DK94" s="311">
        <f t="shared" si="33"/>
        <v>152651.40296118436</v>
      </c>
      <c r="DL94" s="311">
        <f t="shared" si="34"/>
        <v>151338.20296118438</v>
      </c>
    </row>
    <row r="95" spans="2:116" outlineLevel="1" x14ac:dyDescent="0.25">
      <c r="B95" s="251"/>
      <c r="C95" s="249"/>
      <c r="D95" s="249"/>
      <c r="E95" s="252"/>
      <c r="F95" s="252"/>
      <c r="G95" s="252"/>
      <c r="H95" s="252"/>
      <c r="I95" s="252"/>
      <c r="J95" s="252"/>
      <c r="K95" s="252"/>
      <c r="L95" s="250"/>
      <c r="M95" s="251"/>
      <c r="N95" s="249"/>
      <c r="O95" s="249"/>
      <c r="P95" s="249"/>
      <c r="Q95" s="249"/>
      <c r="R95" s="249"/>
      <c r="S95" s="249"/>
      <c r="T95" s="250"/>
      <c r="U95" s="251"/>
      <c r="V95" s="249"/>
      <c r="W95" s="253"/>
      <c r="X95" s="253"/>
      <c r="Y95" s="253"/>
      <c r="Z95" s="249"/>
      <c r="AA95" s="250"/>
      <c r="AB95" s="251"/>
      <c r="AC95" s="249"/>
      <c r="AD95" s="249"/>
      <c r="AE95" s="249"/>
      <c r="AF95" s="249"/>
      <c r="AG95" s="249"/>
      <c r="AH95" s="249"/>
      <c r="AI95" s="249"/>
      <c r="AJ95" s="249"/>
      <c r="AK95" s="249"/>
      <c r="AL95" s="249"/>
      <c r="AM95" s="250"/>
      <c r="CT95" s="304" t="s">
        <v>292</v>
      </c>
      <c r="CU95" s="305"/>
      <c r="CV95" s="305"/>
      <c r="CW95" s="306">
        <f>CW91-CW94</f>
        <v>47.820799999999906</v>
      </c>
      <c r="CX95" s="306">
        <f t="shared" ref="CX95:DB95" si="41">CX91-CX94</f>
        <v>53.744087999999977</v>
      </c>
      <c r="CY95" s="306">
        <f t="shared" si="41"/>
        <v>28.519324511044488</v>
      </c>
      <c r="CZ95" s="306">
        <f t="shared" si="41"/>
        <v>98.426976833373459</v>
      </c>
      <c r="DA95" s="306">
        <f t="shared" si="41"/>
        <v>85.029686446578751</v>
      </c>
      <c r="DB95" s="306">
        <f t="shared" si="41"/>
        <v>157.11329444657869</v>
      </c>
      <c r="DD95" s="304" t="s">
        <v>292</v>
      </c>
      <c r="DE95" s="305"/>
      <c r="DF95" s="305"/>
      <c r="DG95" s="306">
        <f t="shared" si="35"/>
        <v>39850.666666666591</v>
      </c>
      <c r="DH95" s="306">
        <f t="shared" si="30"/>
        <v>44786.739999999983</v>
      </c>
      <c r="DI95" s="306">
        <f t="shared" si="31"/>
        <v>23766.103759203739</v>
      </c>
      <c r="DJ95" s="306">
        <f t="shared" si="32"/>
        <v>82022.480694477883</v>
      </c>
      <c r="DK95" s="306">
        <f t="shared" si="33"/>
        <v>70858.072038815619</v>
      </c>
      <c r="DL95" s="306">
        <f t="shared" si="34"/>
        <v>130927.74537214891</v>
      </c>
    </row>
    <row r="96" spans="2:116" outlineLevel="1" x14ac:dyDescent="0.25">
      <c r="B96" s="251"/>
      <c r="C96" s="249"/>
      <c r="D96" s="249"/>
      <c r="E96" s="252"/>
      <c r="F96" s="252"/>
      <c r="G96" s="252"/>
      <c r="H96" s="252"/>
      <c r="I96" s="252"/>
      <c r="J96" s="252"/>
      <c r="K96" s="252"/>
      <c r="L96" s="250"/>
      <c r="M96" s="251"/>
      <c r="N96" s="249"/>
      <c r="O96" s="249"/>
      <c r="P96" s="249"/>
      <c r="Q96" s="249"/>
      <c r="R96" s="249"/>
      <c r="S96" s="249"/>
      <c r="T96" s="250"/>
      <c r="U96" s="251"/>
      <c r="V96" s="249"/>
      <c r="W96" s="253"/>
      <c r="X96" s="253"/>
      <c r="Y96" s="253"/>
      <c r="Z96" s="249"/>
      <c r="AA96" s="250"/>
      <c r="AB96" s="251"/>
      <c r="AC96" s="249"/>
      <c r="AD96" s="249"/>
      <c r="AE96" s="249"/>
      <c r="AF96" s="249"/>
      <c r="AG96" s="249"/>
      <c r="AH96" s="249"/>
      <c r="AI96" s="249"/>
      <c r="AJ96" s="249"/>
      <c r="AK96" s="249"/>
      <c r="AL96" s="249"/>
      <c r="AM96" s="250"/>
      <c r="CT96" s="289"/>
      <c r="CU96" s="86" t="s">
        <v>568</v>
      </c>
      <c r="CV96" s="86"/>
      <c r="CW96" s="112">
        <f>SUM(INDEX(サマリ!$AH$1:$AH$70,6):INDEX(サマリ!$AH$1:$AH$70,$AQ$48))/($D$22-$D$17)</f>
        <v>43.902439024390247</v>
      </c>
      <c r="CX96" s="112">
        <f>SUM(INDEX(サマリ!$AH$1:$AH$70,6):INDEX(サマリ!$AH$1:$AH$70,$AQ$48))/($D$22-$D$17)</f>
        <v>43.902439024390247</v>
      </c>
      <c r="CY96" s="112">
        <f>SUM(INDEX(サマリ!$AH$1:$AH$70,6):INDEX(サマリ!$AH$1:$AH$70,$AQ$48))/($D$22-$D$17)</f>
        <v>43.902439024390247</v>
      </c>
      <c r="CZ96" s="112">
        <f>SUM(INDEX(サマリ!$AH$1:$AH$70,6):INDEX(サマリ!$AH$1:$AH$70,$AQ$48))/($D$22-$D$17)</f>
        <v>43.902439024390247</v>
      </c>
      <c r="DA96" s="112">
        <f>SUM(INDEX(サマリ!$AH$1:$AH$70,6):INDEX(サマリ!$AH$1:$AH$70,$AQ$48))/($D$22-$D$17)</f>
        <v>43.902439024390247</v>
      </c>
      <c r="DB96" s="112">
        <f>SUM(INDEX(サマリ!$AH$1:$AH$70,6):INDEX(サマリ!$AH$1:$AH$70,$AQ$48))/($D$22-$D$17)</f>
        <v>43.902439024390247</v>
      </c>
      <c r="DD96" s="289"/>
      <c r="DE96" s="86" t="s">
        <v>568</v>
      </c>
      <c r="DF96" s="86"/>
      <c r="DG96" s="112">
        <f t="shared" si="35"/>
        <v>36585.365853658535</v>
      </c>
      <c r="DH96" s="112">
        <f t="shared" si="30"/>
        <v>36585.365853658535</v>
      </c>
      <c r="DI96" s="112">
        <f t="shared" si="31"/>
        <v>36585.365853658535</v>
      </c>
      <c r="DJ96" s="112">
        <f t="shared" si="32"/>
        <v>36585.365853658535</v>
      </c>
      <c r="DK96" s="112">
        <f t="shared" si="33"/>
        <v>36585.365853658535</v>
      </c>
      <c r="DL96" s="112">
        <f t="shared" si="34"/>
        <v>36585.365853658535</v>
      </c>
    </row>
    <row r="97" spans="2:116" outlineLevel="1" x14ac:dyDescent="0.25">
      <c r="B97" s="251"/>
      <c r="C97" s="249"/>
      <c r="D97" s="249"/>
      <c r="E97" s="252"/>
      <c r="F97" s="252"/>
      <c r="G97" s="252"/>
      <c r="H97" s="252"/>
      <c r="I97" s="252"/>
      <c r="J97" s="252"/>
      <c r="K97" s="252"/>
      <c r="L97" s="250"/>
      <c r="M97" s="251"/>
      <c r="N97" s="249"/>
      <c r="O97" s="249"/>
      <c r="P97" s="249"/>
      <c r="Q97" s="249"/>
      <c r="R97" s="249"/>
      <c r="S97" s="249"/>
      <c r="T97" s="250"/>
      <c r="U97" s="251"/>
      <c r="V97" s="249"/>
      <c r="W97" s="253"/>
      <c r="X97" s="253"/>
      <c r="Y97" s="253"/>
      <c r="Z97" s="249"/>
      <c r="AA97" s="250"/>
      <c r="AB97" s="251"/>
      <c r="AC97" s="249"/>
      <c r="AD97" s="249"/>
      <c r="AE97" s="249"/>
      <c r="AF97" s="249"/>
      <c r="AG97" s="249"/>
      <c r="AH97" s="249"/>
      <c r="AI97" s="249"/>
      <c r="AJ97" s="249"/>
      <c r="AK97" s="249"/>
      <c r="AL97" s="249"/>
      <c r="AM97" s="250"/>
      <c r="CT97" s="290"/>
      <c r="CU97" s="86" t="s">
        <v>567</v>
      </c>
      <c r="CV97" s="86"/>
      <c r="CW97" s="112">
        <f>SUM(INDEX(サマリ!$AG$1:$AG$70,6):INDEX(サマリ!$AG$1:$AG$70,$AQ$48))/($D$22-$D$17)</f>
        <v>5.9268292682926829</v>
      </c>
      <c r="CX97" s="112">
        <f>SUM(INDEX(サマリ!$AG$1:$AG$70,6):INDEX(サマリ!$AG$1:$AG$70,$AQ$48))/($D$22-$D$17)</f>
        <v>5.9268292682926829</v>
      </c>
      <c r="CY97" s="112">
        <f>SUM(INDEX(サマリ!$AG$1:$AG$70,6):INDEX(サマリ!$AG$1:$AG$70,$AQ$48))/($D$22-$D$17)</f>
        <v>5.9268292682926829</v>
      </c>
      <c r="CZ97" s="112">
        <f>SUM(INDEX(サマリ!$AG$1:$AG$70,6):INDEX(サマリ!$AG$1:$AG$70,$AQ$48))/($D$22-$D$17)</f>
        <v>5.9268292682926829</v>
      </c>
      <c r="DA97" s="112">
        <f>SUM(INDEX(サマリ!$AG$1:$AG$70,6):INDEX(サマリ!$AG$1:$AG$70,$AQ$48))/($D$22-$D$17)</f>
        <v>5.9268292682926829</v>
      </c>
      <c r="DB97" s="112">
        <f>SUM(INDEX(サマリ!$AG$1:$AG$70,6):INDEX(サマリ!$AG$1:$AG$70,$AQ$48))/($D$22-$D$17)</f>
        <v>5.9268292682926829</v>
      </c>
      <c r="DD97" s="290"/>
      <c r="DE97" s="86" t="s">
        <v>567</v>
      </c>
      <c r="DF97" s="86"/>
      <c r="DG97" s="112">
        <f t="shared" si="35"/>
        <v>4939.0243902439024</v>
      </c>
      <c r="DH97" s="112">
        <f t="shared" si="30"/>
        <v>4939.0243902439024</v>
      </c>
      <c r="DI97" s="112">
        <f t="shared" si="31"/>
        <v>4939.0243902439024</v>
      </c>
      <c r="DJ97" s="112">
        <f t="shared" si="32"/>
        <v>4939.0243902439024</v>
      </c>
      <c r="DK97" s="112">
        <f t="shared" si="33"/>
        <v>4939.0243902439024</v>
      </c>
      <c r="DL97" s="112">
        <f t="shared" si="34"/>
        <v>4939.0243902439024</v>
      </c>
    </row>
    <row r="98" spans="2:116" outlineLevel="1" x14ac:dyDescent="0.25">
      <c r="B98" s="251"/>
      <c r="C98" s="249"/>
      <c r="D98" s="249"/>
      <c r="E98" s="252"/>
      <c r="F98" s="252"/>
      <c r="G98" s="252"/>
      <c r="H98" s="252"/>
      <c r="I98" s="252"/>
      <c r="J98" s="252"/>
      <c r="K98" s="252"/>
      <c r="L98" s="250"/>
      <c r="M98" s="251"/>
      <c r="N98" s="249"/>
      <c r="O98" s="249"/>
      <c r="P98" s="249"/>
      <c r="Q98" s="249"/>
      <c r="R98" s="249"/>
      <c r="S98" s="249"/>
      <c r="T98" s="250"/>
      <c r="U98" s="251"/>
      <c r="V98" s="249"/>
      <c r="W98" s="253"/>
      <c r="X98" s="253"/>
      <c r="Y98" s="253"/>
      <c r="Z98" s="249"/>
      <c r="AA98" s="250"/>
      <c r="AB98" s="251"/>
      <c r="AC98" s="249"/>
      <c r="AD98" s="249"/>
      <c r="AE98" s="249"/>
      <c r="AF98" s="249"/>
      <c r="AG98" s="249"/>
      <c r="AH98" s="249"/>
      <c r="AI98" s="249"/>
      <c r="AJ98" s="249"/>
      <c r="AK98" s="249"/>
      <c r="AL98" s="249"/>
      <c r="AM98" s="250"/>
      <c r="BG98"/>
      <c r="CR98" s="140">
        <f>SUM(子1!Z74:AA74,子2!Z74:AA74,子3!Z74:AA74,子4!Z74:AA74)</f>
        <v>1086.7352999999998</v>
      </c>
      <c r="CT98" s="290"/>
      <c r="CU98" s="86" t="s">
        <v>576</v>
      </c>
      <c r="CV98" s="86"/>
      <c r="CW98" s="112">
        <f>SUM($CR$98)/25</f>
        <v>43.469411999999991</v>
      </c>
      <c r="CX98" s="112">
        <f t="shared" ref="CX98:DA98" si="42">SUM($CR$98)/25</f>
        <v>43.469411999999991</v>
      </c>
      <c r="CY98" s="112">
        <f t="shared" si="42"/>
        <v>43.469411999999991</v>
      </c>
      <c r="CZ98" s="112">
        <f t="shared" si="42"/>
        <v>43.469411999999991</v>
      </c>
      <c r="DA98" s="112">
        <f t="shared" si="42"/>
        <v>43.469411999999991</v>
      </c>
      <c r="DB98" s="112"/>
      <c r="DD98" s="290"/>
      <c r="DE98" s="86" t="s">
        <v>570</v>
      </c>
      <c r="DF98" s="86"/>
      <c r="DG98" s="112">
        <f t="shared" si="35"/>
        <v>36224.509999999995</v>
      </c>
      <c r="DH98" s="112">
        <f t="shared" si="30"/>
        <v>36224.509999999995</v>
      </c>
      <c r="DI98" s="112">
        <f t="shared" si="31"/>
        <v>36224.509999999995</v>
      </c>
      <c r="DJ98" s="112">
        <f t="shared" si="32"/>
        <v>36224.509999999995</v>
      </c>
      <c r="DK98" s="112">
        <f t="shared" si="33"/>
        <v>36224.509999999995</v>
      </c>
      <c r="DL98" s="112">
        <f t="shared" si="34"/>
        <v>0</v>
      </c>
    </row>
    <row r="99" spans="2:116" outlineLevel="1" x14ac:dyDescent="0.25">
      <c r="B99" s="251"/>
      <c r="C99" s="249"/>
      <c r="D99" s="249"/>
      <c r="E99" s="252"/>
      <c r="F99" s="252"/>
      <c r="G99" s="252"/>
      <c r="H99" s="252"/>
      <c r="I99" s="252"/>
      <c r="J99" s="252"/>
      <c r="K99" s="252"/>
      <c r="L99" s="250"/>
      <c r="M99" s="251"/>
      <c r="N99" s="249"/>
      <c r="O99" s="249"/>
      <c r="P99" s="249"/>
      <c r="Q99" s="249"/>
      <c r="R99" s="249"/>
      <c r="S99" s="249"/>
      <c r="T99" s="250"/>
      <c r="U99" s="251"/>
      <c r="V99" s="249"/>
      <c r="W99" s="253"/>
      <c r="X99" s="253"/>
      <c r="Y99" s="253"/>
      <c r="Z99" s="249"/>
      <c r="AA99" s="250"/>
      <c r="AB99" s="251"/>
      <c r="AC99" s="249"/>
      <c r="AD99" s="249"/>
      <c r="AE99" s="249"/>
      <c r="AF99" s="249"/>
      <c r="AG99" s="249"/>
      <c r="AH99" s="249"/>
      <c r="AI99" s="249"/>
      <c r="AJ99" s="249"/>
      <c r="AK99" s="249"/>
      <c r="AL99" s="249"/>
      <c r="AM99" s="250"/>
      <c r="BG99"/>
      <c r="CT99" s="291" t="s">
        <v>569</v>
      </c>
      <c r="CU99" s="292"/>
      <c r="CV99" s="292"/>
      <c r="CW99" s="311">
        <f>SUM(CW96:CW98)</f>
        <v>93.298680292682917</v>
      </c>
      <c r="CX99" s="311">
        <f t="shared" ref="CX99:DB99" si="43">SUM(CX96:CX98)</f>
        <v>93.298680292682917</v>
      </c>
      <c r="CY99" s="311">
        <f t="shared" si="43"/>
        <v>93.298680292682917</v>
      </c>
      <c r="CZ99" s="311">
        <f t="shared" si="43"/>
        <v>93.298680292682917</v>
      </c>
      <c r="DA99" s="311">
        <f t="shared" si="43"/>
        <v>93.298680292682917</v>
      </c>
      <c r="DB99" s="311">
        <f t="shared" si="43"/>
        <v>49.829268292682933</v>
      </c>
      <c r="DD99" s="291" t="s">
        <v>569</v>
      </c>
      <c r="DE99" s="292"/>
      <c r="DF99" s="292"/>
      <c r="DG99" s="311">
        <f t="shared" si="35"/>
        <v>77748.900243902433</v>
      </c>
      <c r="DH99" s="311">
        <f t="shared" si="30"/>
        <v>77748.900243902433</v>
      </c>
      <c r="DI99" s="311">
        <f t="shared" si="31"/>
        <v>77748.900243902433</v>
      </c>
      <c r="DJ99" s="311">
        <f t="shared" si="32"/>
        <v>77748.900243902433</v>
      </c>
      <c r="DK99" s="311">
        <f t="shared" si="33"/>
        <v>77748.900243902433</v>
      </c>
      <c r="DL99" s="311">
        <f t="shared" si="34"/>
        <v>41524.390243902446</v>
      </c>
    </row>
    <row r="100" spans="2:116" outlineLevel="1" x14ac:dyDescent="0.25">
      <c r="B100" s="251"/>
      <c r="C100" s="249"/>
      <c r="D100" s="249"/>
      <c r="E100" s="252"/>
      <c r="F100" s="252"/>
      <c r="G100" s="252"/>
      <c r="H100" s="252"/>
      <c r="I100" s="252"/>
      <c r="J100" s="252"/>
      <c r="K100" s="252"/>
      <c r="L100" s="250"/>
      <c r="M100" s="251"/>
      <c r="N100" s="249"/>
      <c r="O100" s="249"/>
      <c r="P100" s="249"/>
      <c r="Q100" s="249"/>
      <c r="R100" s="249"/>
      <c r="S100" s="249"/>
      <c r="T100" s="250"/>
      <c r="U100" s="251"/>
      <c r="V100" s="249"/>
      <c r="W100" s="253"/>
      <c r="X100" s="253"/>
      <c r="Y100" s="253"/>
      <c r="Z100" s="249"/>
      <c r="AA100" s="250"/>
      <c r="AB100" s="251"/>
      <c r="AC100" s="249"/>
      <c r="AD100" s="249"/>
      <c r="AE100" s="249"/>
      <c r="AF100" s="249"/>
      <c r="AG100" s="249"/>
      <c r="AH100" s="249"/>
      <c r="AI100" s="249"/>
      <c r="AJ100" s="249"/>
      <c r="AK100" s="249"/>
      <c r="AL100" s="249"/>
      <c r="AM100" s="250"/>
      <c r="BG100"/>
      <c r="CT100" s="304" t="s">
        <v>292</v>
      </c>
      <c r="CU100" s="305"/>
      <c r="CV100" s="305"/>
      <c r="CW100" s="306">
        <f>CW95-CW99</f>
        <v>-45.477880292683011</v>
      </c>
      <c r="CX100" s="306">
        <f t="shared" ref="CX100:DB100" si="44">CX95-CX99</f>
        <v>-39.554592292682941</v>
      </c>
      <c r="CY100" s="306">
        <f t="shared" si="44"/>
        <v>-64.779355781638429</v>
      </c>
      <c r="CZ100" s="306">
        <f t="shared" si="44"/>
        <v>5.1282965406905419</v>
      </c>
      <c r="DA100" s="306">
        <f t="shared" si="44"/>
        <v>-8.2689938461041663</v>
      </c>
      <c r="DB100" s="306">
        <f t="shared" si="44"/>
        <v>107.28402615389575</v>
      </c>
      <c r="DD100" s="304" t="s">
        <v>619</v>
      </c>
      <c r="DE100" s="305"/>
      <c r="DF100" s="305"/>
      <c r="DG100" s="306">
        <f t="shared" si="35"/>
        <v>-37898.233577235842</v>
      </c>
      <c r="DH100" s="306">
        <f t="shared" si="30"/>
        <v>-32962.16024390245</v>
      </c>
      <c r="DI100" s="306">
        <f t="shared" si="31"/>
        <v>-53982.796484698694</v>
      </c>
      <c r="DJ100" s="306">
        <f t="shared" si="32"/>
        <v>4273.5804505754513</v>
      </c>
      <c r="DK100" s="306">
        <f t="shared" si="33"/>
        <v>-6890.8282050868056</v>
      </c>
      <c r="DL100" s="306">
        <f t="shared" si="34"/>
        <v>89403.355128246461</v>
      </c>
    </row>
    <row r="101" spans="2:116" outlineLevel="1" x14ac:dyDescent="0.25">
      <c r="B101" s="251"/>
      <c r="C101" s="249"/>
      <c r="D101" s="249"/>
      <c r="E101" s="252"/>
      <c r="F101" s="252"/>
      <c r="G101" s="252"/>
      <c r="H101" s="252"/>
      <c r="I101" s="252"/>
      <c r="J101" s="252"/>
      <c r="K101" s="252"/>
      <c r="L101" s="250"/>
      <c r="M101" s="251"/>
      <c r="N101" s="249"/>
      <c r="O101" s="249"/>
      <c r="P101" s="249"/>
      <c r="Q101" s="249"/>
      <c r="R101" s="249"/>
      <c r="S101" s="249"/>
      <c r="T101" s="250"/>
      <c r="U101" s="251"/>
      <c r="V101" s="249"/>
      <c r="W101" s="253"/>
      <c r="X101" s="253"/>
      <c r="Y101" s="253"/>
      <c r="Z101" s="249"/>
      <c r="AA101" s="250"/>
      <c r="AB101" s="251"/>
      <c r="AC101" s="249"/>
      <c r="AD101" s="249"/>
      <c r="AE101" s="249"/>
      <c r="AF101" s="249"/>
      <c r="AG101" s="249"/>
      <c r="AH101" s="249"/>
      <c r="AI101" s="249"/>
      <c r="AJ101" s="249"/>
      <c r="AK101" s="249"/>
      <c r="AL101" s="249"/>
      <c r="AM101" s="250"/>
      <c r="BG101"/>
    </row>
    <row r="102" spans="2:116" outlineLevel="1" x14ac:dyDescent="0.25">
      <c r="B102" s="251"/>
      <c r="C102" s="249"/>
      <c r="D102" s="249"/>
      <c r="E102" s="252"/>
      <c r="F102" s="252"/>
      <c r="G102" s="252"/>
      <c r="H102" s="252"/>
      <c r="I102" s="252"/>
      <c r="J102" s="252"/>
      <c r="K102" s="252"/>
      <c r="L102" s="250"/>
      <c r="M102" s="251"/>
      <c r="N102" s="249"/>
      <c r="O102" s="249"/>
      <c r="P102" s="249"/>
      <c r="Q102" s="249"/>
      <c r="R102" s="249"/>
      <c r="S102" s="249"/>
      <c r="T102" s="250"/>
      <c r="U102" s="251"/>
      <c r="V102" s="249"/>
      <c r="W102" s="253"/>
      <c r="X102" s="253"/>
      <c r="Y102" s="253"/>
      <c r="Z102" s="249"/>
      <c r="AA102" s="250"/>
      <c r="AB102" s="251"/>
      <c r="AC102" s="249"/>
      <c r="AD102" s="249"/>
      <c r="AE102" s="249"/>
      <c r="AF102" s="249"/>
      <c r="AG102" s="249"/>
      <c r="AH102" s="249"/>
      <c r="AI102" s="249"/>
      <c r="AJ102" s="249"/>
      <c r="AK102" s="249"/>
      <c r="AL102" s="249"/>
      <c r="AM102" s="250"/>
      <c r="BG102"/>
    </row>
    <row r="103" spans="2:116" outlineLevel="1" x14ac:dyDescent="0.25">
      <c r="B103" s="251"/>
      <c r="C103" s="249"/>
      <c r="D103" s="249"/>
      <c r="E103" s="252"/>
      <c r="F103" s="252"/>
      <c r="G103" s="252"/>
      <c r="H103" s="252"/>
      <c r="I103" s="252"/>
      <c r="J103" s="252"/>
      <c r="K103" s="252"/>
      <c r="L103" s="250"/>
      <c r="M103" s="251"/>
      <c r="N103" s="249"/>
      <c r="O103" s="249"/>
      <c r="P103" s="249"/>
      <c r="Q103" s="249"/>
      <c r="R103" s="249"/>
      <c r="S103" s="249"/>
      <c r="T103" s="250"/>
      <c r="U103" s="251"/>
      <c r="V103" s="249"/>
      <c r="W103" s="253"/>
      <c r="X103" s="253"/>
      <c r="Y103" s="253"/>
      <c r="Z103" s="249"/>
      <c r="AA103" s="250"/>
      <c r="AB103" s="251"/>
      <c r="AC103" s="249"/>
      <c r="AD103" s="249"/>
      <c r="AE103" s="249"/>
      <c r="AF103" s="249"/>
      <c r="AG103" s="249"/>
      <c r="AH103" s="249"/>
      <c r="AI103" s="249"/>
      <c r="AJ103" s="249"/>
      <c r="AK103" s="249"/>
      <c r="AL103" s="249"/>
      <c r="AM103" s="250"/>
    </row>
    <row r="104" spans="2:116" outlineLevel="1" x14ac:dyDescent="0.25">
      <c r="B104" s="251"/>
      <c r="C104" s="249"/>
      <c r="D104" s="249"/>
      <c r="E104" s="252"/>
      <c r="F104" s="252"/>
      <c r="G104" s="252"/>
      <c r="H104" s="252"/>
      <c r="I104" s="252"/>
      <c r="J104" s="252"/>
      <c r="K104" s="252"/>
      <c r="L104" s="250"/>
      <c r="M104" s="251"/>
      <c r="N104" s="249"/>
      <c r="O104" s="249"/>
      <c r="P104" s="249"/>
      <c r="Q104" s="249"/>
      <c r="R104" s="249"/>
      <c r="S104" s="249"/>
      <c r="T104" s="250"/>
      <c r="U104" s="251"/>
      <c r="V104" s="249"/>
      <c r="W104" s="253"/>
      <c r="X104" s="253"/>
      <c r="Y104" s="253"/>
      <c r="Z104" s="249"/>
      <c r="AA104" s="250"/>
      <c r="AB104" s="251"/>
      <c r="AC104" s="249"/>
      <c r="AD104" s="249"/>
      <c r="AE104" s="249"/>
      <c r="AF104" s="249"/>
      <c r="AG104" s="249"/>
      <c r="AH104" s="249"/>
      <c r="AI104" s="249"/>
      <c r="AJ104" s="249"/>
      <c r="AK104" s="249"/>
      <c r="AL104" s="249"/>
      <c r="AM104" s="250"/>
    </row>
    <row r="105" spans="2:116" ht="15" outlineLevel="1" thickBot="1" x14ac:dyDescent="0.3">
      <c r="B105" s="256"/>
      <c r="C105" s="254"/>
      <c r="D105" s="254"/>
      <c r="E105" s="254"/>
      <c r="F105" s="254"/>
      <c r="G105" s="254"/>
      <c r="H105" s="254"/>
      <c r="I105" s="254"/>
      <c r="J105" s="254"/>
      <c r="K105" s="254"/>
      <c r="L105" s="255"/>
      <c r="M105" s="256"/>
      <c r="N105" s="254"/>
      <c r="O105" s="254"/>
      <c r="P105" s="254"/>
      <c r="Q105" s="254"/>
      <c r="R105" s="254"/>
      <c r="S105" s="254"/>
      <c r="T105" s="255"/>
      <c r="U105" s="256"/>
      <c r="V105" s="254"/>
      <c r="W105" s="254"/>
      <c r="X105" s="254"/>
      <c r="Y105" s="254"/>
      <c r="Z105" s="254"/>
      <c r="AA105" s="255"/>
      <c r="AB105" s="256"/>
      <c r="AC105" s="254"/>
      <c r="AD105" s="254"/>
      <c r="AE105" s="254"/>
      <c r="AF105" s="254"/>
      <c r="AG105" s="254"/>
      <c r="AH105" s="254"/>
      <c r="AI105" s="254"/>
      <c r="AJ105" s="254"/>
      <c r="AK105" s="254"/>
      <c r="AL105" s="254"/>
      <c r="AM105" s="255"/>
    </row>
  </sheetData>
  <phoneticPr fontId="2"/>
  <dataValidations disablePrompts="1" count="3">
    <dataValidation type="list" allowBlank="1" showInputMessage="1" showErrorMessage="1" sqref="P19:S19 P25:S25" xr:uid="{00000000-0002-0000-0000-000000000000}">
      <formula1>$Z$8:$AA$8</formula1>
    </dataValidation>
    <dataValidation type="list" allowBlank="1" showInputMessage="1" showErrorMessage="1" sqref="P31:S31" xr:uid="{00000000-0002-0000-0000-000001000000}">
      <formula1>$Z$33:$AB$33</formula1>
    </dataValidation>
    <dataValidation type="list" allowBlank="1" showInputMessage="1" showErrorMessage="1" sqref="P16:S16" xr:uid="{00000000-0002-0000-0000-000002000000}">
      <formula1>$Z$8:$AB$8</formula1>
    </dataValidation>
  </dataValidations>
  <pageMargins left="0.7" right="0.7" top="0.75" bottom="0.75" header="0.3" footer="0.3"/>
  <pageSetup paperSize="8" orientation="portrait" verticalDpi="0" r:id="rId1"/>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000-000003000000}">
          <x14:formula1>
            <xm:f>学費計算!$AD$4:$AE$4</xm:f>
          </x14:formula1>
          <xm:sqref>P22:S22</xm:sqref>
        </x14:dataValidation>
        <x14:dataValidation type="list" allowBlank="1" showInputMessage="1" showErrorMessage="1" xr:uid="{00000000-0002-0000-0000-000004000000}">
          <x14:formula1>
            <xm:f>学費計算!$AD$29:$AF$29</xm:f>
          </x14:formula1>
          <xm:sqref>P28:S28</xm:sqref>
        </x14:dataValidation>
        <x14:dataValidation type="list" allowBlank="1" showInputMessage="1" showErrorMessage="1" xr:uid="{00000000-0002-0000-0000-000005000000}">
          <x14:formula1>
            <xm:f>住居計算!$E$12:$F$12</xm:f>
          </x14:formula1>
          <xm:sqref>W20</xm:sqref>
        </x14:dataValidation>
        <x14:dataValidation type="list" allowBlank="1" showInputMessage="1" showErrorMessage="1" xr:uid="{00000000-0002-0000-0000-000006000000}">
          <x14:formula1>
            <xm:f>学費計算!$AD$4:$AF$4</xm:f>
          </x14:formula1>
          <xm:sqref>P13:S13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00"/>
  </sheetPr>
  <dimension ref="B2:AQ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AF35" sqref="AF35"/>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4" width="5.125" style="1" bestFit="1" customWidth="1"/>
    <col min="25" max="25" width="6.25" style="1" bestFit="1" customWidth="1"/>
    <col min="26"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s>
  <sheetData>
    <row r="2" spans="2:43"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2:43"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2:43"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c r="AB4" s="68"/>
      <c r="AC4" s="69"/>
      <c r="AD4" s="65"/>
      <c r="AE4" s="11" t="s">
        <v>162</v>
      </c>
      <c r="AF4" s="12" t="s">
        <v>362</v>
      </c>
      <c r="AG4" s="12" t="s">
        <v>30</v>
      </c>
      <c r="AH4" s="12" t="s">
        <v>31</v>
      </c>
      <c r="AI4" s="12" t="s">
        <v>214</v>
      </c>
      <c r="AJ4" s="13" t="s">
        <v>274</v>
      </c>
      <c r="AK4" s="17" t="s">
        <v>35</v>
      </c>
      <c r="AL4" s="23"/>
      <c r="AM4" s="23"/>
    </row>
    <row r="5" spans="2:43"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2:43" x14ac:dyDescent="0.25">
      <c r="B6" s="5">
        <f>親1!C6</f>
        <v>24</v>
      </c>
      <c r="C6" s="3">
        <f>-入力!$W$19</f>
        <v>-10</v>
      </c>
      <c r="D6" s="34"/>
      <c r="E6" s="3"/>
      <c r="F6" s="3"/>
      <c r="G6" s="3"/>
      <c r="H6" s="3"/>
      <c r="I6" s="14"/>
      <c r="J6" s="24">
        <f t="shared" ref="J6:J69" si="0">SUM(E6:I6)</f>
        <v>0</v>
      </c>
      <c r="K6" s="5">
        <f>IF($C6=0,入力!$W$27,0)+IF(AND($C6&gt;=0,$C6&lt;=入力!$W$29-1),入力!$W$35,0)+IF($C6&lt;0,VLOOKUP(親1!$C6,入力!$W$11:$Z$16,4,1),0)</f>
        <v>96</v>
      </c>
      <c r="L6" s="3">
        <f>住居計算!D13</f>
        <v>0</v>
      </c>
      <c r="M6" s="3"/>
      <c r="N6" s="3"/>
      <c r="O6" s="3"/>
      <c r="P6" s="3"/>
      <c r="Q6" s="3"/>
      <c r="R6" s="3"/>
      <c r="S6" s="14"/>
      <c r="T6" s="18">
        <f t="shared" ref="T6:T69" si="1">SUM(K6:S6)</f>
        <v>96</v>
      </c>
      <c r="U6" s="24">
        <f t="shared" ref="U6:U69" si="2">J6-T6</f>
        <v>-96</v>
      </c>
      <c r="V6" s="5"/>
      <c r="W6" s="3"/>
      <c r="X6" s="3"/>
      <c r="Y6" s="3"/>
      <c r="Z6" s="3"/>
      <c r="AA6" s="3"/>
      <c r="AB6" s="14"/>
      <c r="AC6" s="18">
        <f t="shared" ref="AC6:AC69" si="3">SUM(V6:AB6)</f>
        <v>0</v>
      </c>
      <c r="AD6" s="24">
        <f t="shared" ref="AD6:AD69" si="4">U6-AC6</f>
        <v>-96</v>
      </c>
      <c r="AE6" s="5">
        <f>AE$1</f>
        <v>0</v>
      </c>
      <c r="AF6" s="3">
        <f>IF(C6&lt;0,0,
IF(MOD(C6,MAX(入力!$AI$29,1))=入力!$AI$29-1,入力!$AH$29,0)
+IF(MOD(C6,MAX(入力!$AI$30,1))=入力!$AI$30-1,入力!$AH$30,0)
+IF(MOD(C6,MAX(入力!$AI$31,1))=入力!$AI$31-1,入力!$AH$31,0)
+IF(MOD(C6,MAX(入力!$AI$32,1))=入力!$AI$32-1,入力!$AH$32,0)
+IF(MOD(C6,MAX(入力!$AI$33,1))=入力!$AI$33-1,入力!$AH$33,0)
+IF(MOD(C6,MAX(入力!$AI$34,1))=入力!$AI$34-1,入力!$AH$34,0)
+IF(MOD(C6,MAX(入力!$AI$35,1))=入力!$AI$35-1,入力!$AH$35,0)
+IF(MOD(C6,MAX(入力!$AI$36,1))=入力!$AI$36-1,入力!$AH$36,0)
+IF(MOD(C6,MAX(入力!$AI$37,1))=入力!$AI$37-1,入力!$AH$37,0)
+IF(MOD(C6,MAX(入力!$AI$38,1))=入力!$AI$38-1,入力!$AH$38,0)
)</f>
        <v>0</v>
      </c>
      <c r="AG6" s="3"/>
      <c r="AH6" s="3"/>
      <c r="AI6" s="3"/>
      <c r="AJ6" s="14"/>
      <c r="AK6" s="18">
        <f>SUM(AE6:AJ6)</f>
        <v>0</v>
      </c>
      <c r="AL6" s="24">
        <f t="shared" ref="AL6:AL69" si="5">AD6-AK6</f>
        <v>-96</v>
      </c>
      <c r="AM6" s="24">
        <f t="shared" ref="AM6:AM69" si="6">AL6+AM5</f>
        <v>-96</v>
      </c>
    </row>
    <row r="7" spans="2:43" x14ac:dyDescent="0.25">
      <c r="B7" s="5">
        <f t="shared" ref="B7:C22" si="7">B6+1</f>
        <v>25</v>
      </c>
      <c r="C7" s="3">
        <f t="shared" si="7"/>
        <v>-9</v>
      </c>
      <c r="D7" s="34"/>
      <c r="E7" s="3"/>
      <c r="F7" s="3"/>
      <c r="G7" s="3"/>
      <c r="H7" s="3"/>
      <c r="I7" s="14"/>
      <c r="J7" s="24">
        <f t="shared" si="0"/>
        <v>0</v>
      </c>
      <c r="K7" s="5">
        <f>IF($C7=0,入力!$W$27,0)+IF(AND($C7&gt;=0,$C7&lt;=入力!$W$29-1),入力!$W$35,0)+IF($C7&lt;0,VLOOKUP(親1!$C7,入力!$W$11:$Z$16,4,1),0)</f>
        <v>96</v>
      </c>
      <c r="L7" s="3">
        <f>住居計算!D14</f>
        <v>0</v>
      </c>
      <c r="M7" s="3"/>
      <c r="N7" s="3"/>
      <c r="O7" s="3"/>
      <c r="P7" s="3"/>
      <c r="Q7" s="3"/>
      <c r="R7" s="3"/>
      <c r="S7" s="14"/>
      <c r="T7" s="18">
        <f t="shared" si="1"/>
        <v>96</v>
      </c>
      <c r="U7" s="24">
        <f t="shared" si="2"/>
        <v>-96</v>
      </c>
      <c r="V7" s="5"/>
      <c r="W7" s="3"/>
      <c r="X7" s="3"/>
      <c r="Y7" s="3"/>
      <c r="Z7" s="3"/>
      <c r="AA7" s="3"/>
      <c r="AB7" s="14"/>
      <c r="AC7" s="18">
        <f t="shared" si="3"/>
        <v>0</v>
      </c>
      <c r="AD7" s="24">
        <f t="shared" si="4"/>
        <v>-96</v>
      </c>
      <c r="AE7" s="5">
        <f t="shared" ref="AE7:AE70" si="8">AE$1</f>
        <v>0</v>
      </c>
      <c r="AF7" s="3">
        <f>IF(C7&lt;0,0,
IF(MOD(C7,MAX(入力!$AI$29,1))=入力!$AI$29-1,入力!$AH$29,0)
+IF(MOD(C7,MAX(入力!$AI$30,1))=入力!$AI$30-1,入力!$AH$30,0)
+IF(MOD(C7,MAX(入力!$AI$31,1))=入力!$AI$31-1,入力!$AH$31,0)
+IF(MOD(C7,MAX(入力!$AI$32,1))=入力!$AI$32-1,入力!$AH$32,0)
+IF(MOD(C7,MAX(入力!$AI$33,1))=入力!$AI$33-1,入力!$AH$33,0)
+IF(MOD(C7,MAX(入力!$AI$34,1))=入力!$AI$34-1,入力!$AH$34,0)
+IF(MOD(C7,MAX(入力!$AI$35,1))=入力!$AI$35-1,入力!$AH$35,0)
+IF(MOD(C7,MAX(入力!$AI$36,1))=入力!$AI$36-1,入力!$AH$36,0)
+IF(MOD(C7,MAX(入力!$AI$37,1))=入力!$AI$37-1,入力!$AH$37,0)
+IF(MOD(C7,MAX(入力!$AI$38,1))=入力!$AI$38-1,入力!$AH$38,0)
)</f>
        <v>0</v>
      </c>
      <c r="AG7" s="3"/>
      <c r="AH7" s="3"/>
      <c r="AI7" s="3"/>
      <c r="AJ7" s="14"/>
      <c r="AK7" s="18">
        <f t="shared" ref="AK7:AK70" si="9">SUM(AE7:AJ7)</f>
        <v>0</v>
      </c>
      <c r="AL7" s="24">
        <f t="shared" si="5"/>
        <v>-96</v>
      </c>
      <c r="AM7" s="24">
        <f t="shared" si="6"/>
        <v>-192</v>
      </c>
    </row>
    <row r="8" spans="2:43" x14ac:dyDescent="0.25">
      <c r="B8" s="5">
        <f t="shared" si="7"/>
        <v>26</v>
      </c>
      <c r="C8" s="3">
        <f t="shared" si="7"/>
        <v>-8</v>
      </c>
      <c r="D8" s="34"/>
      <c r="E8" s="3"/>
      <c r="F8" s="3"/>
      <c r="G8" s="3"/>
      <c r="H8" s="3"/>
      <c r="I8" s="14"/>
      <c r="J8" s="24">
        <f t="shared" si="0"/>
        <v>0</v>
      </c>
      <c r="K8" s="5">
        <f>IF($C8=0,入力!$W$27,0)+IF(AND($C8&gt;=0,$C8&lt;=入力!$W$29-1),入力!$W$35,0)+IF($C8&lt;0,VLOOKUP(親1!$C8,入力!$W$11:$Z$16,4,1),0)</f>
        <v>96</v>
      </c>
      <c r="L8" s="3">
        <f>住居計算!D15</f>
        <v>0</v>
      </c>
      <c r="M8" s="3"/>
      <c r="N8" s="3"/>
      <c r="O8" s="3"/>
      <c r="P8" s="3"/>
      <c r="Q8" s="3"/>
      <c r="R8" s="3"/>
      <c r="S8" s="14"/>
      <c r="T8" s="18">
        <f t="shared" si="1"/>
        <v>96</v>
      </c>
      <c r="U8" s="24">
        <f t="shared" si="2"/>
        <v>-96</v>
      </c>
      <c r="V8" s="5"/>
      <c r="W8" s="3"/>
      <c r="X8" s="3"/>
      <c r="Y8" s="3"/>
      <c r="Z8" s="3"/>
      <c r="AA8" s="3"/>
      <c r="AB8" s="14"/>
      <c r="AC8" s="18">
        <f t="shared" si="3"/>
        <v>0</v>
      </c>
      <c r="AD8" s="24">
        <f t="shared" si="4"/>
        <v>-96</v>
      </c>
      <c r="AE8" s="5">
        <f t="shared" si="8"/>
        <v>0</v>
      </c>
      <c r="AF8" s="3">
        <f>IF(C8&lt;0,0,
IF(MOD(C8,MAX(入力!$AI$29,1))=入力!$AI$29-1,入力!$AH$29,0)
+IF(MOD(C8,MAX(入力!$AI$30,1))=入力!$AI$30-1,入力!$AH$30,0)
+IF(MOD(C8,MAX(入力!$AI$31,1))=入力!$AI$31-1,入力!$AH$31,0)
+IF(MOD(C8,MAX(入力!$AI$32,1))=入力!$AI$32-1,入力!$AH$32,0)
+IF(MOD(C8,MAX(入力!$AI$33,1))=入力!$AI$33-1,入力!$AH$33,0)
+IF(MOD(C8,MAX(入力!$AI$34,1))=入力!$AI$34-1,入力!$AH$34,0)
+IF(MOD(C8,MAX(入力!$AI$35,1))=入力!$AI$35-1,入力!$AH$35,0)
+IF(MOD(C8,MAX(入力!$AI$36,1))=入力!$AI$36-1,入力!$AH$36,0)
+IF(MOD(C8,MAX(入力!$AI$37,1))=入力!$AI$37-1,入力!$AH$37,0)
+IF(MOD(C8,MAX(入力!$AI$38,1))=入力!$AI$38-1,入力!$AH$38,0)
)</f>
        <v>0</v>
      </c>
      <c r="AG8" s="3"/>
      <c r="AH8" s="3"/>
      <c r="AI8" s="3"/>
      <c r="AJ8" s="14"/>
      <c r="AK8" s="18">
        <f t="shared" si="9"/>
        <v>0</v>
      </c>
      <c r="AL8" s="24">
        <f t="shared" si="5"/>
        <v>-96</v>
      </c>
      <c r="AM8" s="24">
        <f t="shared" si="6"/>
        <v>-288</v>
      </c>
    </row>
    <row r="9" spans="2:43" x14ac:dyDescent="0.25">
      <c r="B9" s="5">
        <f t="shared" si="7"/>
        <v>27</v>
      </c>
      <c r="C9" s="3">
        <f t="shared" si="7"/>
        <v>-7</v>
      </c>
      <c r="D9" s="34"/>
      <c r="E9" s="3"/>
      <c r="F9" s="3"/>
      <c r="G9" s="3"/>
      <c r="H9" s="3"/>
      <c r="I9" s="14"/>
      <c r="J9" s="24">
        <f t="shared" si="0"/>
        <v>0</v>
      </c>
      <c r="K9" s="5">
        <f>IF($C9=0,入力!$W$27,0)+IF(AND($C9&gt;=0,$C9&lt;=入力!$W$29-1),入力!$W$35,0)+IF($C9&lt;0,VLOOKUP(親1!$C9,入力!$W$11:$Z$16,4,1),0)</f>
        <v>96</v>
      </c>
      <c r="L9" s="3">
        <f>住居計算!D16</f>
        <v>0</v>
      </c>
      <c r="M9" s="3"/>
      <c r="N9" s="3"/>
      <c r="O9" s="3"/>
      <c r="P9" s="3"/>
      <c r="Q9" s="3"/>
      <c r="R9" s="3"/>
      <c r="S9" s="14"/>
      <c r="T9" s="18">
        <f t="shared" si="1"/>
        <v>96</v>
      </c>
      <c r="U9" s="24">
        <f t="shared" si="2"/>
        <v>-96</v>
      </c>
      <c r="V9" s="5"/>
      <c r="W9" s="3"/>
      <c r="X9" s="3"/>
      <c r="Y9" s="3"/>
      <c r="Z9" s="3"/>
      <c r="AA9" s="3"/>
      <c r="AB9" s="14"/>
      <c r="AC9" s="18">
        <f t="shared" si="3"/>
        <v>0</v>
      </c>
      <c r="AD9" s="24">
        <f t="shared" si="4"/>
        <v>-96</v>
      </c>
      <c r="AE9" s="5">
        <f t="shared" si="8"/>
        <v>0</v>
      </c>
      <c r="AF9" s="3">
        <f>IF(C9&lt;0,0,
IF(MOD(C9,MAX(入力!$AI$29,1))=入力!$AI$29-1,入力!$AH$29,0)
+IF(MOD(C9,MAX(入力!$AI$30,1))=入力!$AI$30-1,入力!$AH$30,0)
+IF(MOD(C9,MAX(入力!$AI$31,1))=入力!$AI$31-1,入力!$AH$31,0)
+IF(MOD(C9,MAX(入力!$AI$32,1))=入力!$AI$32-1,入力!$AH$32,0)
+IF(MOD(C9,MAX(入力!$AI$33,1))=入力!$AI$33-1,入力!$AH$33,0)
+IF(MOD(C9,MAX(入力!$AI$34,1))=入力!$AI$34-1,入力!$AH$34,0)
+IF(MOD(C9,MAX(入力!$AI$35,1))=入力!$AI$35-1,入力!$AH$35,0)
+IF(MOD(C9,MAX(入力!$AI$36,1))=入力!$AI$36-1,入力!$AH$36,0)
+IF(MOD(C9,MAX(入力!$AI$37,1))=入力!$AI$37-1,入力!$AH$37,0)
+IF(MOD(C9,MAX(入力!$AI$38,1))=入力!$AI$38-1,入力!$AH$38,0)
)</f>
        <v>0</v>
      </c>
      <c r="AG9" s="3"/>
      <c r="AH9" s="3"/>
      <c r="AI9" s="3"/>
      <c r="AJ9" s="14"/>
      <c r="AK9" s="18">
        <f t="shared" si="9"/>
        <v>0</v>
      </c>
      <c r="AL9" s="24">
        <f t="shared" si="5"/>
        <v>-96</v>
      </c>
      <c r="AM9" s="24">
        <f t="shared" si="6"/>
        <v>-384</v>
      </c>
    </row>
    <row r="10" spans="2:43" x14ac:dyDescent="0.25">
      <c r="B10" s="5">
        <f t="shared" si="7"/>
        <v>28</v>
      </c>
      <c r="C10" s="3">
        <f t="shared" si="7"/>
        <v>-6</v>
      </c>
      <c r="D10" s="34"/>
      <c r="E10" s="3"/>
      <c r="F10" s="3"/>
      <c r="G10" s="3"/>
      <c r="H10" s="3"/>
      <c r="I10" s="14"/>
      <c r="J10" s="24">
        <f t="shared" si="0"/>
        <v>0</v>
      </c>
      <c r="K10" s="5">
        <f>IF($C10=0,入力!$W$27,0)+IF(AND($C10&gt;=0,$C10&lt;=入力!$W$29-1),入力!$W$35,0)+IF($C10&lt;0,VLOOKUP(親1!$C10,入力!$W$11:$Z$16,4,1),0)</f>
        <v>96</v>
      </c>
      <c r="L10" s="3">
        <f>住居計算!D17</f>
        <v>0</v>
      </c>
      <c r="M10" s="3"/>
      <c r="N10" s="3"/>
      <c r="O10" s="3"/>
      <c r="P10" s="3"/>
      <c r="Q10" s="3"/>
      <c r="R10" s="3"/>
      <c r="S10" s="14"/>
      <c r="T10" s="18">
        <f t="shared" si="1"/>
        <v>96</v>
      </c>
      <c r="U10" s="24">
        <f t="shared" si="2"/>
        <v>-96</v>
      </c>
      <c r="V10" s="5"/>
      <c r="W10" s="3"/>
      <c r="X10" s="3"/>
      <c r="Y10" s="3"/>
      <c r="Z10" s="3"/>
      <c r="AA10" s="3"/>
      <c r="AB10" s="14"/>
      <c r="AC10" s="18">
        <f t="shared" si="3"/>
        <v>0</v>
      </c>
      <c r="AD10" s="24">
        <f t="shared" si="4"/>
        <v>-96</v>
      </c>
      <c r="AE10" s="5">
        <f t="shared" si="8"/>
        <v>0</v>
      </c>
      <c r="AF10" s="3">
        <f>IF(C10&lt;0,0,
IF(MOD(C10,MAX(入力!$AI$29,1))=入力!$AI$29-1,入力!$AH$29,0)
+IF(MOD(C10,MAX(入力!$AI$30,1))=入力!$AI$30-1,入力!$AH$30,0)
+IF(MOD(C10,MAX(入力!$AI$31,1))=入力!$AI$31-1,入力!$AH$31,0)
+IF(MOD(C10,MAX(入力!$AI$32,1))=入力!$AI$32-1,入力!$AH$32,0)
+IF(MOD(C10,MAX(入力!$AI$33,1))=入力!$AI$33-1,入力!$AH$33,0)
+IF(MOD(C10,MAX(入力!$AI$34,1))=入力!$AI$34-1,入力!$AH$34,0)
+IF(MOD(C10,MAX(入力!$AI$35,1))=入力!$AI$35-1,入力!$AH$35,0)
+IF(MOD(C10,MAX(入力!$AI$36,1))=入力!$AI$36-1,入力!$AH$36,0)
+IF(MOD(C10,MAX(入力!$AI$37,1))=入力!$AI$37-1,入力!$AH$37,0)
+IF(MOD(C10,MAX(入力!$AI$38,1))=入力!$AI$38-1,入力!$AH$38,0)
)</f>
        <v>0</v>
      </c>
      <c r="AG10" s="3"/>
      <c r="AH10" s="3"/>
      <c r="AI10" s="3"/>
      <c r="AJ10" s="14"/>
      <c r="AK10" s="18">
        <f t="shared" si="9"/>
        <v>0</v>
      </c>
      <c r="AL10" s="24">
        <f t="shared" si="5"/>
        <v>-96</v>
      </c>
      <c r="AM10" s="24">
        <f t="shared" si="6"/>
        <v>-480</v>
      </c>
    </row>
    <row r="11" spans="2:43" x14ac:dyDescent="0.25">
      <c r="B11" s="5">
        <f t="shared" si="7"/>
        <v>29</v>
      </c>
      <c r="C11" s="3">
        <f t="shared" si="7"/>
        <v>-5</v>
      </c>
      <c r="D11" s="34"/>
      <c r="E11" s="3"/>
      <c r="F11" s="3"/>
      <c r="G11" s="3"/>
      <c r="H11" s="3"/>
      <c r="I11" s="14"/>
      <c r="J11" s="24">
        <f t="shared" si="0"/>
        <v>0</v>
      </c>
      <c r="K11" s="5">
        <f>IF($C11=0,入力!$W$27,0)+IF(AND($C11&gt;=0,$C11&lt;=入力!$W$29-1),入力!$W$35,0)+IF($C11&lt;0,VLOOKUP(親1!$C11,入力!$W$11:$Z$16,4,1),0)</f>
        <v>96</v>
      </c>
      <c r="L11" s="3">
        <f>住居計算!D18</f>
        <v>0</v>
      </c>
      <c r="M11" s="3"/>
      <c r="N11" s="3"/>
      <c r="O11" s="3"/>
      <c r="P11" s="3"/>
      <c r="Q11" s="3"/>
      <c r="R11" s="3"/>
      <c r="S11" s="14"/>
      <c r="T11" s="18">
        <f t="shared" si="1"/>
        <v>96</v>
      </c>
      <c r="U11" s="24">
        <f t="shared" si="2"/>
        <v>-96</v>
      </c>
      <c r="V11" s="5"/>
      <c r="W11" s="3"/>
      <c r="X11" s="3"/>
      <c r="Y11" s="3"/>
      <c r="Z11" s="3"/>
      <c r="AA11" s="3"/>
      <c r="AB11" s="14"/>
      <c r="AC11" s="18">
        <f t="shared" si="3"/>
        <v>0</v>
      </c>
      <c r="AD11" s="24">
        <f t="shared" si="4"/>
        <v>-96</v>
      </c>
      <c r="AE11" s="5">
        <f t="shared" si="8"/>
        <v>0</v>
      </c>
      <c r="AF11" s="3">
        <f>IF(C11&lt;0,0,
IF(MOD(C11,MAX(入力!$AI$29,1))=入力!$AI$29-1,入力!$AH$29,0)
+IF(MOD(C11,MAX(入力!$AI$30,1))=入力!$AI$30-1,入力!$AH$30,0)
+IF(MOD(C11,MAX(入力!$AI$31,1))=入力!$AI$31-1,入力!$AH$31,0)
+IF(MOD(C11,MAX(入力!$AI$32,1))=入力!$AI$32-1,入力!$AH$32,0)
+IF(MOD(C11,MAX(入力!$AI$33,1))=入力!$AI$33-1,入力!$AH$33,0)
+IF(MOD(C11,MAX(入力!$AI$34,1))=入力!$AI$34-1,入力!$AH$34,0)
+IF(MOD(C11,MAX(入力!$AI$35,1))=入力!$AI$35-1,入力!$AH$35,0)
+IF(MOD(C11,MAX(入力!$AI$36,1))=入力!$AI$36-1,入力!$AH$36,0)
+IF(MOD(C11,MAX(入力!$AI$37,1))=入力!$AI$37-1,入力!$AH$37,0)
+IF(MOD(C11,MAX(入力!$AI$38,1))=入力!$AI$38-1,入力!$AH$38,0)
)</f>
        <v>0</v>
      </c>
      <c r="AG11" s="3"/>
      <c r="AH11" s="3"/>
      <c r="AI11" s="3"/>
      <c r="AJ11" s="14"/>
      <c r="AK11" s="18">
        <f t="shared" si="9"/>
        <v>0</v>
      </c>
      <c r="AL11" s="24">
        <f t="shared" si="5"/>
        <v>-96</v>
      </c>
      <c r="AM11" s="24">
        <f t="shared" si="6"/>
        <v>-576</v>
      </c>
    </row>
    <row r="12" spans="2:43" x14ac:dyDescent="0.25">
      <c r="B12" s="5">
        <f t="shared" si="7"/>
        <v>30</v>
      </c>
      <c r="C12" s="3">
        <f t="shared" si="7"/>
        <v>-4</v>
      </c>
      <c r="D12" s="34"/>
      <c r="E12" s="3"/>
      <c r="F12" s="3"/>
      <c r="G12" s="3"/>
      <c r="H12" s="3"/>
      <c r="I12" s="14"/>
      <c r="J12" s="24">
        <f t="shared" si="0"/>
        <v>0</v>
      </c>
      <c r="K12" s="5">
        <f>IF($C12=0,入力!$W$27,0)+IF(AND($C12&gt;=0,$C12&lt;=入力!$W$29-1),入力!$W$35,0)+IF($C12&lt;0,VLOOKUP(親1!$C12,入力!$W$11:$Z$16,4,1),0)</f>
        <v>96</v>
      </c>
      <c r="L12" s="3">
        <f>住居計算!D19</f>
        <v>0</v>
      </c>
      <c r="M12" s="3"/>
      <c r="N12" s="3"/>
      <c r="O12" s="3"/>
      <c r="P12" s="3"/>
      <c r="Q12" s="3"/>
      <c r="R12" s="3"/>
      <c r="S12" s="14"/>
      <c r="T12" s="18">
        <f t="shared" si="1"/>
        <v>96</v>
      </c>
      <c r="U12" s="24">
        <f t="shared" si="2"/>
        <v>-96</v>
      </c>
      <c r="V12" s="5"/>
      <c r="W12" s="3"/>
      <c r="X12" s="3"/>
      <c r="Y12" s="3"/>
      <c r="Z12" s="3"/>
      <c r="AA12" s="3"/>
      <c r="AB12" s="14"/>
      <c r="AC12" s="18">
        <f t="shared" si="3"/>
        <v>0</v>
      </c>
      <c r="AD12" s="24">
        <f t="shared" si="4"/>
        <v>-96</v>
      </c>
      <c r="AE12" s="5">
        <f t="shared" si="8"/>
        <v>0</v>
      </c>
      <c r="AF12" s="3">
        <f>IF(C12&lt;0,0,
IF(MOD(C12,MAX(入力!$AI$29,1))=入力!$AI$29-1,入力!$AH$29,0)
+IF(MOD(C12,MAX(入力!$AI$30,1))=入力!$AI$30-1,入力!$AH$30,0)
+IF(MOD(C12,MAX(入力!$AI$31,1))=入力!$AI$31-1,入力!$AH$31,0)
+IF(MOD(C12,MAX(入力!$AI$32,1))=入力!$AI$32-1,入力!$AH$32,0)
+IF(MOD(C12,MAX(入力!$AI$33,1))=入力!$AI$33-1,入力!$AH$33,0)
+IF(MOD(C12,MAX(入力!$AI$34,1))=入力!$AI$34-1,入力!$AH$34,0)
+IF(MOD(C12,MAX(入力!$AI$35,1))=入力!$AI$35-1,入力!$AH$35,0)
+IF(MOD(C12,MAX(入力!$AI$36,1))=入力!$AI$36-1,入力!$AH$36,0)
+IF(MOD(C12,MAX(入力!$AI$37,1))=入力!$AI$37-1,入力!$AH$37,0)
+IF(MOD(C12,MAX(入力!$AI$38,1))=入力!$AI$38-1,入力!$AH$38,0)
)</f>
        <v>0</v>
      </c>
      <c r="AG12" s="3"/>
      <c r="AH12" s="3"/>
      <c r="AI12" s="3"/>
      <c r="AJ12" s="14"/>
      <c r="AK12" s="18">
        <f t="shared" si="9"/>
        <v>0</v>
      </c>
      <c r="AL12" s="24">
        <f t="shared" si="5"/>
        <v>-96</v>
      </c>
      <c r="AM12" s="24">
        <f t="shared" si="6"/>
        <v>-672</v>
      </c>
    </row>
    <row r="13" spans="2:43" x14ac:dyDescent="0.25">
      <c r="B13" s="5">
        <f t="shared" si="7"/>
        <v>31</v>
      </c>
      <c r="C13" s="3">
        <f t="shared" si="7"/>
        <v>-3</v>
      </c>
      <c r="D13" s="34"/>
      <c r="E13" s="3"/>
      <c r="F13" s="3"/>
      <c r="G13" s="3"/>
      <c r="H13" s="3"/>
      <c r="I13" s="14"/>
      <c r="J13" s="24">
        <f t="shared" si="0"/>
        <v>0</v>
      </c>
      <c r="K13" s="5">
        <f>IF($C13=0,入力!$W$27,0)+IF(AND($C13&gt;=0,$C13&lt;=入力!$W$29-1),入力!$W$35,0)+IF($C13&lt;0,VLOOKUP(親1!$C13,入力!$W$11:$Z$16,4,1),0)</f>
        <v>120</v>
      </c>
      <c r="L13" s="3">
        <f>住居計算!D20</f>
        <v>0</v>
      </c>
      <c r="M13" s="3"/>
      <c r="N13" s="3"/>
      <c r="O13" s="3"/>
      <c r="P13" s="3"/>
      <c r="Q13" s="3"/>
      <c r="R13" s="3"/>
      <c r="S13" s="14"/>
      <c r="T13" s="18">
        <f t="shared" si="1"/>
        <v>120</v>
      </c>
      <c r="U13" s="24">
        <f t="shared" si="2"/>
        <v>-120</v>
      </c>
      <c r="V13" s="5"/>
      <c r="W13" s="3"/>
      <c r="X13" s="3"/>
      <c r="Y13" s="3"/>
      <c r="Z13" s="3"/>
      <c r="AA13" s="3"/>
      <c r="AB13" s="14"/>
      <c r="AC13" s="18">
        <f t="shared" si="3"/>
        <v>0</v>
      </c>
      <c r="AD13" s="24">
        <f t="shared" si="4"/>
        <v>-120</v>
      </c>
      <c r="AE13" s="5">
        <f t="shared" si="8"/>
        <v>0</v>
      </c>
      <c r="AF13" s="3">
        <f>IF(C13&lt;0,0,
IF(MOD(C13,MAX(入力!$AI$29,1))=入力!$AI$29-1,入力!$AH$29,0)
+IF(MOD(C13,MAX(入力!$AI$30,1))=入力!$AI$30-1,入力!$AH$30,0)
+IF(MOD(C13,MAX(入力!$AI$31,1))=入力!$AI$31-1,入力!$AH$31,0)
+IF(MOD(C13,MAX(入力!$AI$32,1))=入力!$AI$32-1,入力!$AH$32,0)
+IF(MOD(C13,MAX(入力!$AI$33,1))=入力!$AI$33-1,入力!$AH$33,0)
+IF(MOD(C13,MAX(入力!$AI$34,1))=入力!$AI$34-1,入力!$AH$34,0)
+IF(MOD(C13,MAX(入力!$AI$35,1))=入力!$AI$35-1,入力!$AH$35,0)
+IF(MOD(C13,MAX(入力!$AI$36,1))=入力!$AI$36-1,入力!$AH$36,0)
+IF(MOD(C13,MAX(入力!$AI$37,1))=入力!$AI$37-1,入力!$AH$37,0)
+IF(MOD(C13,MAX(入力!$AI$38,1))=入力!$AI$38-1,入力!$AH$38,0)
)</f>
        <v>0</v>
      </c>
      <c r="AG13" s="3"/>
      <c r="AH13" s="3"/>
      <c r="AI13" s="3"/>
      <c r="AJ13" s="14"/>
      <c r="AK13" s="18">
        <f t="shared" si="9"/>
        <v>0</v>
      </c>
      <c r="AL13" s="24">
        <f t="shared" si="5"/>
        <v>-120</v>
      </c>
      <c r="AM13" s="24">
        <f t="shared" si="6"/>
        <v>-792</v>
      </c>
    </row>
    <row r="14" spans="2:43" x14ac:dyDescent="0.25">
      <c r="B14" s="5">
        <f t="shared" si="7"/>
        <v>32</v>
      </c>
      <c r="C14" s="3">
        <f t="shared" si="7"/>
        <v>-2</v>
      </c>
      <c r="D14" s="34"/>
      <c r="E14" s="3"/>
      <c r="F14" s="3"/>
      <c r="G14" s="3"/>
      <c r="H14" s="3"/>
      <c r="I14" s="14"/>
      <c r="J14" s="24">
        <f t="shared" si="0"/>
        <v>0</v>
      </c>
      <c r="K14" s="5">
        <f>IF($C14=0,入力!$W$27,0)+IF(AND($C14&gt;=0,$C14&lt;=入力!$W$29-1),入力!$W$35,0)+IF($C14&lt;0,VLOOKUP(親1!$C14,入力!$W$11:$Z$16,4,1),0)</f>
        <v>120</v>
      </c>
      <c r="L14" s="3">
        <f>住居計算!D21</f>
        <v>0</v>
      </c>
      <c r="M14" s="3"/>
      <c r="N14" s="3"/>
      <c r="O14" s="3"/>
      <c r="P14" s="3"/>
      <c r="Q14" s="3"/>
      <c r="R14" s="3"/>
      <c r="S14" s="14"/>
      <c r="T14" s="18">
        <f t="shared" si="1"/>
        <v>120</v>
      </c>
      <c r="U14" s="24">
        <f t="shared" si="2"/>
        <v>-120</v>
      </c>
      <c r="V14" s="5"/>
      <c r="W14" s="3"/>
      <c r="X14" s="3"/>
      <c r="Y14" s="3"/>
      <c r="Z14" s="3"/>
      <c r="AA14" s="3"/>
      <c r="AB14" s="14"/>
      <c r="AC14" s="18">
        <f t="shared" si="3"/>
        <v>0</v>
      </c>
      <c r="AD14" s="24">
        <f t="shared" si="4"/>
        <v>-120</v>
      </c>
      <c r="AE14" s="5">
        <f t="shared" si="8"/>
        <v>0</v>
      </c>
      <c r="AF14" s="3">
        <f>IF(C14&lt;0,0,
IF(MOD(C14,MAX(入力!$AI$29,1))=入力!$AI$29-1,入力!$AH$29,0)
+IF(MOD(C14,MAX(入力!$AI$30,1))=入力!$AI$30-1,入力!$AH$30,0)
+IF(MOD(C14,MAX(入力!$AI$31,1))=入力!$AI$31-1,入力!$AH$31,0)
+IF(MOD(C14,MAX(入力!$AI$32,1))=入力!$AI$32-1,入力!$AH$32,0)
+IF(MOD(C14,MAX(入力!$AI$33,1))=入力!$AI$33-1,入力!$AH$33,0)
+IF(MOD(C14,MAX(入力!$AI$34,1))=入力!$AI$34-1,入力!$AH$34,0)
+IF(MOD(C14,MAX(入力!$AI$35,1))=入力!$AI$35-1,入力!$AH$35,0)
+IF(MOD(C14,MAX(入力!$AI$36,1))=入力!$AI$36-1,入力!$AH$36,0)
+IF(MOD(C14,MAX(入力!$AI$37,1))=入力!$AI$37-1,入力!$AH$37,0)
+IF(MOD(C14,MAX(入力!$AI$38,1))=入力!$AI$38-1,入力!$AH$38,0)
)</f>
        <v>0</v>
      </c>
      <c r="AG14" s="3"/>
      <c r="AH14" s="3"/>
      <c r="AI14" s="3"/>
      <c r="AJ14" s="14"/>
      <c r="AK14" s="18">
        <f t="shared" si="9"/>
        <v>0</v>
      </c>
      <c r="AL14" s="24">
        <f t="shared" si="5"/>
        <v>-120</v>
      </c>
      <c r="AM14" s="24">
        <f t="shared" si="6"/>
        <v>-912</v>
      </c>
    </row>
    <row r="15" spans="2:43" x14ac:dyDescent="0.25">
      <c r="B15" s="5">
        <f t="shared" si="7"/>
        <v>33</v>
      </c>
      <c r="C15" s="3">
        <f t="shared" si="7"/>
        <v>-1</v>
      </c>
      <c r="D15" s="34"/>
      <c r="E15" s="3"/>
      <c r="F15" s="3"/>
      <c r="G15" s="3"/>
      <c r="H15" s="3"/>
      <c r="I15" s="14"/>
      <c r="J15" s="24">
        <f t="shared" si="0"/>
        <v>0</v>
      </c>
      <c r="K15" s="5">
        <f>IF($C15=0,入力!$W$27,0)+IF(AND($C15&gt;=0,$C15&lt;=入力!$W$29-1),入力!$W$35,0)+IF($C15&lt;0,VLOOKUP(親1!$C15,入力!$W$11:$Z$16,4,1),0)</f>
        <v>120</v>
      </c>
      <c r="L15" s="3">
        <f>住居計算!D22</f>
        <v>0</v>
      </c>
      <c r="M15" s="3"/>
      <c r="N15" s="3"/>
      <c r="O15" s="3"/>
      <c r="P15" s="3"/>
      <c r="Q15" s="3"/>
      <c r="R15" s="3"/>
      <c r="S15" s="14"/>
      <c r="T15" s="18">
        <f t="shared" si="1"/>
        <v>120</v>
      </c>
      <c r="U15" s="24">
        <f t="shared" si="2"/>
        <v>-120</v>
      </c>
      <c r="V15" s="5"/>
      <c r="W15" s="3"/>
      <c r="X15" s="3"/>
      <c r="Y15" s="3"/>
      <c r="Z15" s="3"/>
      <c r="AA15" s="3"/>
      <c r="AB15" s="14"/>
      <c r="AC15" s="18">
        <f t="shared" si="3"/>
        <v>0</v>
      </c>
      <c r="AD15" s="24">
        <f t="shared" si="4"/>
        <v>-120</v>
      </c>
      <c r="AE15" s="5">
        <f t="shared" si="8"/>
        <v>0</v>
      </c>
      <c r="AF15" s="3">
        <f>IF(C15&lt;0,0,
IF(MOD(C15,MAX(入力!$AI$29,1))=入力!$AI$29-1,入力!$AH$29,0)
+IF(MOD(C15,MAX(入力!$AI$30,1))=入力!$AI$30-1,入力!$AH$30,0)
+IF(MOD(C15,MAX(入力!$AI$31,1))=入力!$AI$31-1,入力!$AH$31,0)
+IF(MOD(C15,MAX(入力!$AI$32,1))=入力!$AI$32-1,入力!$AH$32,0)
+IF(MOD(C15,MAX(入力!$AI$33,1))=入力!$AI$33-1,入力!$AH$33,0)
+IF(MOD(C15,MAX(入力!$AI$34,1))=入力!$AI$34-1,入力!$AH$34,0)
+IF(MOD(C15,MAX(入力!$AI$35,1))=入力!$AI$35-1,入力!$AH$35,0)
+IF(MOD(C15,MAX(入力!$AI$36,1))=入力!$AI$36-1,入力!$AH$36,0)
+IF(MOD(C15,MAX(入力!$AI$37,1))=入力!$AI$37-1,入力!$AH$37,0)
+IF(MOD(C15,MAX(入力!$AI$38,1))=入力!$AI$38-1,入力!$AH$38,0)
)</f>
        <v>0</v>
      </c>
      <c r="AG15" s="3"/>
      <c r="AH15" s="3"/>
      <c r="AI15" s="3"/>
      <c r="AJ15" s="14"/>
      <c r="AK15" s="18">
        <f t="shared" si="9"/>
        <v>0</v>
      </c>
      <c r="AL15" s="24">
        <f t="shared" si="5"/>
        <v>-120</v>
      </c>
      <c r="AM15" s="24">
        <f t="shared" si="6"/>
        <v>-1032</v>
      </c>
    </row>
    <row r="16" spans="2:43" x14ac:dyDescent="0.25">
      <c r="B16" s="5">
        <f t="shared" si="7"/>
        <v>34</v>
      </c>
      <c r="C16" s="3">
        <f t="shared" si="7"/>
        <v>0</v>
      </c>
      <c r="D16" s="34"/>
      <c r="E16" s="3"/>
      <c r="F16" s="3"/>
      <c r="G16" s="3"/>
      <c r="H16" s="3"/>
      <c r="I16" s="14"/>
      <c r="J16" s="24">
        <f t="shared" si="0"/>
        <v>0</v>
      </c>
      <c r="K16" s="5">
        <f>IF($C16=0,入力!$W$27,0)+IF(AND($C16&gt;=0,$C16&lt;=入力!$W$29-1),入力!$W$35,0)+IF($C16&lt;0,VLOOKUP(親1!$C16,入力!$W$11:$Z$16,4,1),0)</f>
        <v>118.55999355342125</v>
      </c>
      <c r="L16" s="3">
        <f>住居計算!D23</f>
        <v>6.1556099355342102</v>
      </c>
      <c r="M16" s="3"/>
      <c r="N16" s="3"/>
      <c r="O16" s="3"/>
      <c r="P16" s="3"/>
      <c r="Q16" s="3"/>
      <c r="R16" s="3"/>
      <c r="S16" s="14"/>
      <c r="T16" s="18">
        <f t="shared" si="1"/>
        <v>124.71560348895547</v>
      </c>
      <c r="U16" s="24">
        <f t="shared" si="2"/>
        <v>-124.71560348895547</v>
      </c>
      <c r="V16" s="5"/>
      <c r="W16" s="3"/>
      <c r="X16" s="3"/>
      <c r="Y16" s="3"/>
      <c r="Z16" s="3"/>
      <c r="AA16" s="3"/>
      <c r="AB16" s="14"/>
      <c r="AC16" s="18">
        <f t="shared" si="3"/>
        <v>0</v>
      </c>
      <c r="AD16" s="24">
        <f t="shared" si="4"/>
        <v>-124.71560348895547</v>
      </c>
      <c r="AE16" s="5">
        <f t="shared" si="8"/>
        <v>0</v>
      </c>
      <c r="AF16" s="3">
        <f>IF(C16&lt;0,0,
IF(MOD(C16,MAX(入力!$AI$29,1))=入力!$AI$29-1,入力!$AH$29,0)
+IF(MOD(C16,MAX(入力!$AI$30,1))=入力!$AI$30-1,入力!$AH$30,0)
+IF(MOD(C16,MAX(入力!$AI$31,1))=入力!$AI$31-1,入力!$AH$31,0)
+IF(MOD(C16,MAX(入力!$AI$32,1))=入力!$AI$32-1,入力!$AH$32,0)
+IF(MOD(C16,MAX(入力!$AI$33,1))=入力!$AI$33-1,入力!$AH$33,0)
+IF(MOD(C16,MAX(入力!$AI$34,1))=入力!$AI$34-1,入力!$AH$34,0)
+IF(MOD(C16,MAX(入力!$AI$35,1))=入力!$AI$35-1,入力!$AH$35,0)
+IF(MOD(C16,MAX(入力!$AI$36,1))=入力!$AI$36-1,入力!$AH$36,0)
+IF(MOD(C16,MAX(入力!$AI$37,1))=入力!$AI$37-1,入力!$AH$37,0)
+IF(MOD(C16,MAX(入力!$AI$38,1))=入力!$AI$38-1,入力!$AH$38,0)
)</f>
        <v>0</v>
      </c>
      <c r="AG16" s="3"/>
      <c r="AH16" s="3"/>
      <c r="AI16" s="3"/>
      <c r="AJ16" s="14"/>
      <c r="AK16" s="18">
        <f t="shared" si="9"/>
        <v>0</v>
      </c>
      <c r="AL16" s="24">
        <f t="shared" si="5"/>
        <v>-124.71560348895547</v>
      </c>
      <c r="AM16" s="24">
        <f t="shared" si="6"/>
        <v>-1156.7156034889554</v>
      </c>
    </row>
    <row r="17" spans="2:39" x14ac:dyDescent="0.25">
      <c r="B17" s="5">
        <f t="shared" si="7"/>
        <v>35</v>
      </c>
      <c r="C17" s="3">
        <f t="shared" si="7"/>
        <v>1</v>
      </c>
      <c r="D17" s="34"/>
      <c r="E17" s="3"/>
      <c r="F17" s="3"/>
      <c r="G17" s="3"/>
      <c r="H17" s="3"/>
      <c r="I17" s="14"/>
      <c r="J17" s="24">
        <f t="shared" si="0"/>
        <v>0</v>
      </c>
      <c r="K17" s="5">
        <f>IF($C17=0,入力!$W$27,0)+IF(AND($C17&gt;=0,$C17&lt;=入力!$W$29-1),入力!$W$35,0)+IF($C17&lt;0,VLOOKUP(親1!$C17,入力!$W$11:$Z$16,4,1),0)</f>
        <v>118.55999355342125</v>
      </c>
      <c r="L17" s="3">
        <f>住居計算!D24</f>
        <v>7.1442298710684247</v>
      </c>
      <c r="M17" s="3"/>
      <c r="N17" s="3"/>
      <c r="O17" s="3"/>
      <c r="P17" s="3"/>
      <c r="Q17" s="3"/>
      <c r="R17" s="3"/>
      <c r="S17" s="14"/>
      <c r="T17" s="18">
        <f t="shared" si="1"/>
        <v>125.70422342448967</v>
      </c>
      <c r="U17" s="24">
        <f t="shared" si="2"/>
        <v>-125.70422342448967</v>
      </c>
      <c r="V17" s="5"/>
      <c r="W17" s="3"/>
      <c r="X17" s="3"/>
      <c r="Y17" s="3"/>
      <c r="Z17" s="3"/>
      <c r="AA17" s="3"/>
      <c r="AB17" s="14"/>
      <c r="AC17" s="18">
        <f t="shared" si="3"/>
        <v>0</v>
      </c>
      <c r="AD17" s="24">
        <f t="shared" si="4"/>
        <v>-125.70422342448967</v>
      </c>
      <c r="AE17" s="5">
        <f t="shared" si="8"/>
        <v>0</v>
      </c>
      <c r="AF17" s="3">
        <f>IF(C17&lt;0,0,
IF(MOD(C17,MAX(入力!$AI$29,1))=入力!$AI$29-1,入力!$AH$29,0)
+IF(MOD(C17,MAX(入力!$AI$30,1))=入力!$AI$30-1,入力!$AH$30,0)
+IF(MOD(C17,MAX(入力!$AI$31,1))=入力!$AI$31-1,入力!$AH$31,0)
+IF(MOD(C17,MAX(入力!$AI$32,1))=入力!$AI$32-1,入力!$AH$32,0)
+IF(MOD(C17,MAX(入力!$AI$33,1))=入力!$AI$33-1,入力!$AH$33,0)
+IF(MOD(C17,MAX(入力!$AI$34,1))=入力!$AI$34-1,入力!$AH$34,0)
+IF(MOD(C17,MAX(入力!$AI$35,1))=入力!$AI$35-1,入力!$AH$35,0)
+IF(MOD(C17,MAX(入力!$AI$36,1))=入力!$AI$36-1,入力!$AH$36,0)
+IF(MOD(C17,MAX(入力!$AI$37,1))=入力!$AI$37-1,入力!$AH$37,0)
+IF(MOD(C17,MAX(入力!$AI$38,1))=入力!$AI$38-1,入力!$AH$38,0)
)</f>
        <v>0</v>
      </c>
      <c r="AG17" s="3"/>
      <c r="AH17" s="3"/>
      <c r="AI17" s="3"/>
      <c r="AJ17" s="14"/>
      <c r="AK17" s="18">
        <f t="shared" si="9"/>
        <v>0</v>
      </c>
      <c r="AL17" s="24">
        <f t="shared" si="5"/>
        <v>-125.70422342448967</v>
      </c>
      <c r="AM17" s="24">
        <f t="shared" si="6"/>
        <v>-1282.4198269134449</v>
      </c>
    </row>
    <row r="18" spans="2:39" x14ac:dyDescent="0.25">
      <c r="B18" s="5">
        <f t="shared" si="7"/>
        <v>36</v>
      </c>
      <c r="C18" s="3">
        <f t="shared" si="7"/>
        <v>2</v>
      </c>
      <c r="D18" s="34"/>
      <c r="E18" s="3"/>
      <c r="F18" s="3"/>
      <c r="G18" s="3"/>
      <c r="H18" s="3"/>
      <c r="I18" s="14"/>
      <c r="J18" s="24">
        <f t="shared" si="0"/>
        <v>0</v>
      </c>
      <c r="K18" s="5">
        <f>IF($C18=0,入力!$W$27,0)+IF(AND($C18&gt;=0,$C18&lt;=入力!$W$29-1),入力!$W$35,0)+IF($C18&lt;0,VLOOKUP(親1!$C18,入力!$W$11:$Z$16,4,1),0)</f>
        <v>118.55999355342125</v>
      </c>
      <c r="L18" s="3">
        <f>住居計算!D25</f>
        <v>8.1328498066026409</v>
      </c>
      <c r="M18" s="3"/>
      <c r="N18" s="3"/>
      <c r="O18" s="3"/>
      <c r="P18" s="3"/>
      <c r="Q18" s="3"/>
      <c r="R18" s="3"/>
      <c r="S18" s="14"/>
      <c r="T18" s="18">
        <f t="shared" si="1"/>
        <v>126.69284336002389</v>
      </c>
      <c r="U18" s="24">
        <f t="shared" si="2"/>
        <v>-126.69284336002389</v>
      </c>
      <c r="V18" s="5"/>
      <c r="W18" s="3"/>
      <c r="X18" s="3"/>
      <c r="Y18" s="3"/>
      <c r="Z18" s="3"/>
      <c r="AA18" s="3"/>
      <c r="AB18" s="14"/>
      <c r="AC18" s="18">
        <f t="shared" si="3"/>
        <v>0</v>
      </c>
      <c r="AD18" s="24">
        <f t="shared" si="4"/>
        <v>-126.69284336002389</v>
      </c>
      <c r="AE18" s="5">
        <f t="shared" si="8"/>
        <v>0</v>
      </c>
      <c r="AF18" s="3">
        <f>IF(C18&lt;0,0,
IF(MOD(C18,MAX(入力!$AI$29,1))=入力!$AI$29-1,入力!$AH$29,0)
+IF(MOD(C18,MAX(入力!$AI$30,1))=入力!$AI$30-1,入力!$AH$30,0)
+IF(MOD(C18,MAX(入力!$AI$31,1))=入力!$AI$31-1,入力!$AH$31,0)
+IF(MOD(C18,MAX(入力!$AI$32,1))=入力!$AI$32-1,入力!$AH$32,0)
+IF(MOD(C18,MAX(入力!$AI$33,1))=入力!$AI$33-1,入力!$AH$33,0)
+IF(MOD(C18,MAX(入力!$AI$34,1))=入力!$AI$34-1,入力!$AH$34,0)
+IF(MOD(C18,MAX(入力!$AI$35,1))=入力!$AI$35-1,入力!$AH$35,0)
+IF(MOD(C18,MAX(入力!$AI$36,1))=入力!$AI$36-1,入力!$AH$36,0)
+IF(MOD(C18,MAX(入力!$AI$37,1))=入力!$AI$37-1,入力!$AH$37,0)
+IF(MOD(C18,MAX(入力!$AI$38,1))=入力!$AI$38-1,入力!$AH$38,0)
)</f>
        <v>0</v>
      </c>
      <c r="AG18" s="3"/>
      <c r="AH18" s="3"/>
      <c r="AI18" s="3"/>
      <c r="AJ18" s="14"/>
      <c r="AK18" s="18">
        <f t="shared" si="9"/>
        <v>0</v>
      </c>
      <c r="AL18" s="24">
        <f t="shared" si="5"/>
        <v>-126.69284336002389</v>
      </c>
      <c r="AM18" s="24">
        <f t="shared" si="6"/>
        <v>-1409.1126702734689</v>
      </c>
    </row>
    <row r="19" spans="2:39" x14ac:dyDescent="0.25">
      <c r="B19" s="5">
        <f t="shared" si="7"/>
        <v>37</v>
      </c>
      <c r="C19" s="3">
        <f t="shared" si="7"/>
        <v>3</v>
      </c>
      <c r="D19" s="34"/>
      <c r="E19" s="3"/>
      <c r="F19" s="3"/>
      <c r="G19" s="3"/>
      <c r="H19" s="3"/>
      <c r="I19" s="14"/>
      <c r="J19" s="24">
        <f t="shared" si="0"/>
        <v>0</v>
      </c>
      <c r="K19" s="5">
        <f>IF($C19=0,入力!$W$27,0)+IF(AND($C19&gt;=0,$C19&lt;=入力!$W$29-1),入力!$W$35,0)+IF($C19&lt;0,VLOOKUP(親1!$C19,入力!$W$11:$Z$16,4,1),0)</f>
        <v>118.55999355342125</v>
      </c>
      <c r="L19" s="3">
        <f>住居計算!D26</f>
        <v>9.1871297421368556</v>
      </c>
      <c r="M19" s="3"/>
      <c r="N19" s="3"/>
      <c r="O19" s="3"/>
      <c r="P19" s="3"/>
      <c r="Q19" s="3"/>
      <c r="R19" s="3"/>
      <c r="S19" s="14"/>
      <c r="T19" s="18">
        <f t="shared" si="1"/>
        <v>127.74712329555811</v>
      </c>
      <c r="U19" s="24">
        <f t="shared" si="2"/>
        <v>-127.74712329555811</v>
      </c>
      <c r="V19" s="5"/>
      <c r="W19" s="3"/>
      <c r="X19" s="3"/>
      <c r="Y19" s="3"/>
      <c r="Z19" s="3"/>
      <c r="AA19" s="3"/>
      <c r="AB19" s="14"/>
      <c r="AC19" s="18">
        <f t="shared" si="3"/>
        <v>0</v>
      </c>
      <c r="AD19" s="24">
        <f t="shared" si="4"/>
        <v>-127.74712329555811</v>
      </c>
      <c r="AE19" s="5">
        <f t="shared" si="8"/>
        <v>0</v>
      </c>
      <c r="AF19" s="3">
        <f>IF(C19&lt;0,0,
IF(MOD(C19,MAX(入力!$AI$29,1))=入力!$AI$29-1,入力!$AH$29,0)
+IF(MOD(C19,MAX(入力!$AI$30,1))=入力!$AI$30-1,入力!$AH$30,0)
+IF(MOD(C19,MAX(入力!$AI$31,1))=入力!$AI$31-1,入力!$AH$31,0)
+IF(MOD(C19,MAX(入力!$AI$32,1))=入力!$AI$32-1,入力!$AH$32,0)
+IF(MOD(C19,MAX(入力!$AI$33,1))=入力!$AI$33-1,入力!$AH$33,0)
+IF(MOD(C19,MAX(入力!$AI$34,1))=入力!$AI$34-1,入力!$AH$34,0)
+IF(MOD(C19,MAX(入力!$AI$35,1))=入力!$AI$35-1,入力!$AH$35,0)
+IF(MOD(C19,MAX(入力!$AI$36,1))=入力!$AI$36-1,入力!$AH$36,0)
+IF(MOD(C19,MAX(入力!$AI$37,1))=入力!$AI$37-1,入力!$AH$37,0)
+IF(MOD(C19,MAX(入力!$AI$38,1))=入力!$AI$38-1,入力!$AH$38,0)
)</f>
        <v>0</v>
      </c>
      <c r="AG19" s="3"/>
      <c r="AH19" s="3"/>
      <c r="AI19" s="3"/>
      <c r="AJ19" s="14"/>
      <c r="AK19" s="18">
        <f t="shared" si="9"/>
        <v>0</v>
      </c>
      <c r="AL19" s="24">
        <f t="shared" si="5"/>
        <v>-127.74712329555811</v>
      </c>
      <c r="AM19" s="24">
        <f t="shared" si="6"/>
        <v>-1536.859793569027</v>
      </c>
    </row>
    <row r="20" spans="2:39" x14ac:dyDescent="0.25">
      <c r="B20" s="5">
        <f t="shared" si="7"/>
        <v>38</v>
      </c>
      <c r="C20" s="3">
        <f t="shared" si="7"/>
        <v>4</v>
      </c>
      <c r="D20" s="34"/>
      <c r="E20" s="3"/>
      <c r="F20" s="3"/>
      <c r="G20" s="3"/>
      <c r="H20" s="3"/>
      <c r="I20" s="14"/>
      <c r="J20" s="24">
        <f t="shared" si="0"/>
        <v>0</v>
      </c>
      <c r="K20" s="5">
        <f>IF($C20=0,入力!$W$27,0)+IF(AND($C20&gt;=0,$C20&lt;=入力!$W$29-1),入力!$W$35,0)+IF($C20&lt;0,VLOOKUP(親1!$C20,入力!$W$11:$Z$16,4,1),0)</f>
        <v>118.55999355342125</v>
      </c>
      <c r="L20" s="3">
        <f>住居計算!D27</f>
        <v>10.241409677671069</v>
      </c>
      <c r="M20" s="3"/>
      <c r="N20" s="3"/>
      <c r="O20" s="3"/>
      <c r="P20" s="3"/>
      <c r="Q20" s="3"/>
      <c r="R20" s="3"/>
      <c r="S20" s="14"/>
      <c r="T20" s="18">
        <f t="shared" si="1"/>
        <v>128.80140323109231</v>
      </c>
      <c r="U20" s="24">
        <f t="shared" si="2"/>
        <v>-128.80140323109231</v>
      </c>
      <c r="V20" s="5"/>
      <c r="W20" s="3"/>
      <c r="X20" s="3"/>
      <c r="Y20" s="3"/>
      <c r="Z20" s="3"/>
      <c r="AA20" s="3"/>
      <c r="AB20" s="14"/>
      <c r="AC20" s="18">
        <f t="shared" si="3"/>
        <v>0</v>
      </c>
      <c r="AD20" s="24">
        <f t="shared" si="4"/>
        <v>-128.80140323109231</v>
      </c>
      <c r="AE20" s="5">
        <f t="shared" si="8"/>
        <v>0</v>
      </c>
      <c r="AF20" s="3">
        <f>IF(C20&lt;0,0,
IF(MOD(C20,MAX(入力!$AI$29,1))=入力!$AI$29-1,入力!$AH$29,0)
+IF(MOD(C20,MAX(入力!$AI$30,1))=入力!$AI$30-1,入力!$AH$30,0)
+IF(MOD(C20,MAX(入力!$AI$31,1))=入力!$AI$31-1,入力!$AH$31,0)
+IF(MOD(C20,MAX(入力!$AI$32,1))=入力!$AI$32-1,入力!$AH$32,0)
+IF(MOD(C20,MAX(入力!$AI$33,1))=入力!$AI$33-1,入力!$AH$33,0)
+IF(MOD(C20,MAX(入力!$AI$34,1))=入力!$AI$34-1,入力!$AH$34,0)
+IF(MOD(C20,MAX(入力!$AI$35,1))=入力!$AI$35-1,入力!$AH$35,0)
+IF(MOD(C20,MAX(入力!$AI$36,1))=入力!$AI$36-1,入力!$AH$36,0)
+IF(MOD(C20,MAX(入力!$AI$37,1))=入力!$AI$37-1,入力!$AH$37,0)
+IF(MOD(C20,MAX(入力!$AI$38,1))=入力!$AI$38-1,入力!$AH$38,0)
)</f>
        <v>0</v>
      </c>
      <c r="AG20" s="3"/>
      <c r="AH20" s="3"/>
      <c r="AI20" s="3"/>
      <c r="AJ20" s="14"/>
      <c r="AK20" s="18">
        <f t="shared" si="9"/>
        <v>0</v>
      </c>
      <c r="AL20" s="24">
        <f t="shared" si="5"/>
        <v>-128.80140323109231</v>
      </c>
      <c r="AM20" s="24">
        <f t="shared" si="6"/>
        <v>-1665.6611968001193</v>
      </c>
    </row>
    <row r="21" spans="2:39" x14ac:dyDescent="0.25">
      <c r="B21" s="5">
        <f t="shared" si="7"/>
        <v>39</v>
      </c>
      <c r="C21" s="3">
        <f t="shared" si="7"/>
        <v>5</v>
      </c>
      <c r="D21" s="34"/>
      <c r="E21" s="3"/>
      <c r="F21" s="3"/>
      <c r="G21" s="3"/>
      <c r="H21" s="3"/>
      <c r="I21" s="14"/>
      <c r="J21" s="24">
        <f t="shared" si="0"/>
        <v>0</v>
      </c>
      <c r="K21" s="5">
        <f>IF($C21=0,入力!$W$27,0)+IF(AND($C21&gt;=0,$C21&lt;=入力!$W$29-1),入力!$W$35,0)+IF($C21&lt;0,VLOOKUP(親1!$C21,入力!$W$11:$Z$16,4,1),0)</f>
        <v>118.55999355342125</v>
      </c>
      <c r="L21" s="3">
        <f>住居計算!D28</f>
        <v>11.230029613205286</v>
      </c>
      <c r="M21" s="3"/>
      <c r="N21" s="3"/>
      <c r="O21" s="3"/>
      <c r="P21" s="3"/>
      <c r="Q21" s="3"/>
      <c r="R21" s="3"/>
      <c r="S21" s="14"/>
      <c r="T21" s="18">
        <f t="shared" si="1"/>
        <v>129.79002316662653</v>
      </c>
      <c r="U21" s="24">
        <f t="shared" si="2"/>
        <v>-129.79002316662653</v>
      </c>
      <c r="V21" s="5"/>
      <c r="W21" s="3"/>
      <c r="X21" s="3"/>
      <c r="Y21" s="3"/>
      <c r="Z21" s="3"/>
      <c r="AA21" s="3"/>
      <c r="AB21" s="14"/>
      <c r="AC21" s="18">
        <f t="shared" si="3"/>
        <v>0</v>
      </c>
      <c r="AD21" s="24">
        <f t="shared" si="4"/>
        <v>-129.79002316662653</v>
      </c>
      <c r="AE21" s="5">
        <f t="shared" si="8"/>
        <v>0</v>
      </c>
      <c r="AF21" s="3">
        <f>IF(C21&lt;0,0,
IF(MOD(C21,MAX(入力!$AI$29,1))=入力!$AI$29-1,入力!$AH$29,0)
+IF(MOD(C21,MAX(入力!$AI$30,1))=入力!$AI$30-1,入力!$AH$30,0)
+IF(MOD(C21,MAX(入力!$AI$31,1))=入力!$AI$31-1,入力!$AH$31,0)
+IF(MOD(C21,MAX(入力!$AI$32,1))=入力!$AI$32-1,入力!$AH$32,0)
+IF(MOD(C21,MAX(入力!$AI$33,1))=入力!$AI$33-1,入力!$AH$33,0)
+IF(MOD(C21,MAX(入力!$AI$34,1))=入力!$AI$34-1,入力!$AH$34,0)
+IF(MOD(C21,MAX(入力!$AI$35,1))=入力!$AI$35-1,入力!$AH$35,0)
+IF(MOD(C21,MAX(入力!$AI$36,1))=入力!$AI$36-1,入力!$AH$36,0)
+IF(MOD(C21,MAX(入力!$AI$37,1))=入力!$AI$37-1,入力!$AH$37,0)
+IF(MOD(C21,MAX(入力!$AI$38,1))=入力!$AI$38-1,入力!$AH$38,0)
)</f>
        <v>0</v>
      </c>
      <c r="AG21" s="3"/>
      <c r="AH21" s="3"/>
      <c r="AI21" s="3"/>
      <c r="AJ21" s="14"/>
      <c r="AK21" s="18">
        <f t="shared" si="9"/>
        <v>0</v>
      </c>
      <c r="AL21" s="24">
        <f t="shared" si="5"/>
        <v>-129.79002316662653</v>
      </c>
      <c r="AM21" s="24">
        <f t="shared" si="6"/>
        <v>-1795.4512199667458</v>
      </c>
    </row>
    <row r="22" spans="2:39" x14ac:dyDescent="0.25">
      <c r="B22" s="5">
        <f t="shared" si="7"/>
        <v>40</v>
      </c>
      <c r="C22" s="3">
        <f t="shared" si="7"/>
        <v>6</v>
      </c>
      <c r="D22" s="34"/>
      <c r="E22" s="3"/>
      <c r="F22" s="3"/>
      <c r="G22" s="3"/>
      <c r="H22" s="3"/>
      <c r="I22" s="14"/>
      <c r="J22" s="24">
        <f t="shared" si="0"/>
        <v>0</v>
      </c>
      <c r="K22" s="5">
        <f>IF($C22=0,入力!$W$27,0)+IF(AND($C22&gt;=0,$C22&lt;=入力!$W$29-1),入力!$W$35,0)+IF($C22&lt;0,VLOOKUP(親1!$C22,入力!$W$11:$Z$16,4,1),0)</f>
        <v>118.55999355342125</v>
      </c>
      <c r="L22" s="3">
        <f>住居計算!D29</f>
        <v>17.602769548739495</v>
      </c>
      <c r="M22" s="3"/>
      <c r="N22" s="3"/>
      <c r="O22" s="3"/>
      <c r="P22" s="3"/>
      <c r="Q22" s="3"/>
      <c r="R22" s="3"/>
      <c r="S22" s="14"/>
      <c r="T22" s="18">
        <f t="shared" si="1"/>
        <v>136.16276310216074</v>
      </c>
      <c r="U22" s="24">
        <f t="shared" si="2"/>
        <v>-136.16276310216074</v>
      </c>
      <c r="V22" s="5"/>
      <c r="W22" s="3"/>
      <c r="X22" s="3"/>
      <c r="Y22" s="3"/>
      <c r="Z22" s="3"/>
      <c r="AA22" s="3"/>
      <c r="AB22" s="14"/>
      <c r="AC22" s="18">
        <f t="shared" si="3"/>
        <v>0</v>
      </c>
      <c r="AD22" s="24">
        <f t="shared" si="4"/>
        <v>-136.16276310216074</v>
      </c>
      <c r="AE22" s="5">
        <f t="shared" si="8"/>
        <v>0</v>
      </c>
      <c r="AF22" s="3">
        <f>IF(C22&lt;0,0,
IF(MOD(C22,MAX(入力!$AI$29,1))=入力!$AI$29-1,入力!$AH$29,0)
+IF(MOD(C22,MAX(入力!$AI$30,1))=入力!$AI$30-1,入力!$AH$30,0)
+IF(MOD(C22,MAX(入力!$AI$31,1))=入力!$AI$31-1,入力!$AH$31,0)
+IF(MOD(C22,MAX(入力!$AI$32,1))=入力!$AI$32-1,入力!$AH$32,0)
+IF(MOD(C22,MAX(入力!$AI$33,1))=入力!$AI$33-1,入力!$AH$33,0)
+IF(MOD(C22,MAX(入力!$AI$34,1))=入力!$AI$34-1,入力!$AH$34,0)
+IF(MOD(C22,MAX(入力!$AI$35,1))=入力!$AI$35-1,入力!$AH$35,0)
+IF(MOD(C22,MAX(入力!$AI$36,1))=入力!$AI$36-1,入力!$AH$36,0)
+IF(MOD(C22,MAX(入力!$AI$37,1))=入力!$AI$37-1,入力!$AH$37,0)
+IF(MOD(C22,MAX(入力!$AI$38,1))=入力!$AI$38-1,入力!$AH$38,0)
)</f>
        <v>0</v>
      </c>
      <c r="AG22" s="3"/>
      <c r="AH22" s="3"/>
      <c r="AI22" s="3"/>
      <c r="AJ22" s="14"/>
      <c r="AK22" s="18">
        <f t="shared" si="9"/>
        <v>0</v>
      </c>
      <c r="AL22" s="24">
        <f t="shared" si="5"/>
        <v>-136.16276310216074</v>
      </c>
      <c r="AM22" s="24">
        <f t="shared" si="6"/>
        <v>-1931.6139830689067</v>
      </c>
    </row>
    <row r="23" spans="2:39" x14ac:dyDescent="0.25">
      <c r="B23" s="5">
        <f t="shared" ref="B23:C38" si="10">B22+1</f>
        <v>41</v>
      </c>
      <c r="C23" s="3">
        <f t="shared" si="10"/>
        <v>7</v>
      </c>
      <c r="D23" s="34"/>
      <c r="E23" s="3"/>
      <c r="F23" s="3"/>
      <c r="G23" s="3"/>
      <c r="H23" s="3"/>
      <c r="I23" s="14"/>
      <c r="J23" s="24">
        <f t="shared" si="0"/>
        <v>0</v>
      </c>
      <c r="K23" s="5">
        <f>IF($C23=0,入力!$W$27,0)+IF(AND($C23&gt;=0,$C23&lt;=入力!$W$29-1),入力!$W$35,0)+IF($C23&lt;0,VLOOKUP(親1!$C23,入力!$W$11:$Z$16,4,1),0)</f>
        <v>118.55999355342125</v>
      </c>
      <c r="L23" s="3">
        <f>住居計算!D30</f>
        <v>18.525729484273711</v>
      </c>
      <c r="M23" s="3"/>
      <c r="N23" s="3"/>
      <c r="O23" s="3"/>
      <c r="P23" s="3"/>
      <c r="Q23" s="3"/>
      <c r="R23" s="3"/>
      <c r="S23" s="14"/>
      <c r="T23" s="18">
        <f t="shared" si="1"/>
        <v>137.08572303769495</v>
      </c>
      <c r="U23" s="24">
        <f t="shared" si="2"/>
        <v>-137.08572303769495</v>
      </c>
      <c r="V23" s="5"/>
      <c r="W23" s="3"/>
      <c r="X23" s="3"/>
      <c r="Y23" s="3"/>
      <c r="Z23" s="3"/>
      <c r="AA23" s="3"/>
      <c r="AB23" s="14"/>
      <c r="AC23" s="18">
        <f t="shared" si="3"/>
        <v>0</v>
      </c>
      <c r="AD23" s="24">
        <f t="shared" si="4"/>
        <v>-137.08572303769495</v>
      </c>
      <c r="AE23" s="5">
        <f t="shared" si="8"/>
        <v>0</v>
      </c>
      <c r="AF23" s="3">
        <f>IF(C23&lt;0,0,
IF(MOD(C23,MAX(入力!$AI$29,1))=入力!$AI$29-1,入力!$AH$29,0)
+IF(MOD(C23,MAX(入力!$AI$30,1))=入力!$AI$30-1,入力!$AH$30,0)
+IF(MOD(C23,MAX(入力!$AI$31,1))=入力!$AI$31-1,入力!$AH$31,0)
+IF(MOD(C23,MAX(入力!$AI$32,1))=入力!$AI$32-1,入力!$AH$32,0)
+IF(MOD(C23,MAX(入力!$AI$33,1))=入力!$AI$33-1,入力!$AH$33,0)
+IF(MOD(C23,MAX(入力!$AI$34,1))=入力!$AI$34-1,入力!$AH$34,0)
+IF(MOD(C23,MAX(入力!$AI$35,1))=入力!$AI$35-1,入力!$AH$35,0)
+IF(MOD(C23,MAX(入力!$AI$36,1))=入力!$AI$36-1,入力!$AH$36,0)
+IF(MOD(C23,MAX(入力!$AI$37,1))=入力!$AI$37-1,入力!$AH$37,0)
+IF(MOD(C23,MAX(入力!$AI$38,1))=入力!$AI$38-1,入力!$AH$38,0)
)</f>
        <v>0</v>
      </c>
      <c r="AG23" s="3"/>
      <c r="AH23" s="3"/>
      <c r="AI23" s="3"/>
      <c r="AJ23" s="14"/>
      <c r="AK23" s="18">
        <f t="shared" si="9"/>
        <v>0</v>
      </c>
      <c r="AL23" s="24">
        <f t="shared" si="5"/>
        <v>-137.08572303769495</v>
      </c>
      <c r="AM23" s="24">
        <f t="shared" si="6"/>
        <v>-2068.6997061066018</v>
      </c>
    </row>
    <row r="24" spans="2:39" x14ac:dyDescent="0.25">
      <c r="B24" s="5">
        <f t="shared" si="10"/>
        <v>42</v>
      </c>
      <c r="C24" s="3">
        <f t="shared" si="10"/>
        <v>8</v>
      </c>
      <c r="D24" s="34"/>
      <c r="E24" s="3"/>
      <c r="F24" s="3"/>
      <c r="G24" s="3"/>
      <c r="H24" s="3"/>
      <c r="I24" s="14"/>
      <c r="J24" s="24">
        <f t="shared" si="0"/>
        <v>0</v>
      </c>
      <c r="K24" s="5">
        <f>IF($C24=0,入力!$W$27,0)+IF(AND($C24&gt;=0,$C24&lt;=入力!$W$29-1),入力!$W$35,0)+IF($C24&lt;0,VLOOKUP(親1!$C24,入力!$W$11:$Z$16,4,1),0)</f>
        <v>118.55999355342125</v>
      </c>
      <c r="L24" s="3">
        <f>住居計算!D31</f>
        <v>19.317369419807928</v>
      </c>
      <c r="M24" s="3"/>
      <c r="N24" s="3"/>
      <c r="O24" s="3"/>
      <c r="P24" s="3"/>
      <c r="Q24" s="3"/>
      <c r="R24" s="3"/>
      <c r="S24" s="14"/>
      <c r="T24" s="18">
        <f t="shared" si="1"/>
        <v>137.87736297322917</v>
      </c>
      <c r="U24" s="24">
        <f t="shared" si="2"/>
        <v>-137.87736297322917</v>
      </c>
      <c r="V24" s="5"/>
      <c r="W24" s="3"/>
      <c r="X24" s="3"/>
      <c r="Y24" s="3"/>
      <c r="Z24" s="3"/>
      <c r="AA24" s="3"/>
      <c r="AB24" s="14"/>
      <c r="AC24" s="18">
        <f t="shared" si="3"/>
        <v>0</v>
      </c>
      <c r="AD24" s="24">
        <f t="shared" si="4"/>
        <v>-137.87736297322917</v>
      </c>
      <c r="AE24" s="5">
        <f t="shared" si="8"/>
        <v>0</v>
      </c>
      <c r="AF24" s="3">
        <f>IF(C24&lt;0,0,
IF(MOD(C24,MAX(入力!$AI$29,1))=入力!$AI$29-1,入力!$AH$29,0)
+IF(MOD(C24,MAX(入力!$AI$30,1))=入力!$AI$30-1,入力!$AH$30,0)
+IF(MOD(C24,MAX(入力!$AI$31,1))=入力!$AI$31-1,入力!$AH$31,0)
+IF(MOD(C24,MAX(入力!$AI$32,1))=入力!$AI$32-1,入力!$AH$32,0)
+IF(MOD(C24,MAX(入力!$AI$33,1))=入力!$AI$33-1,入力!$AH$33,0)
+IF(MOD(C24,MAX(入力!$AI$34,1))=入力!$AI$34-1,入力!$AH$34,0)
+IF(MOD(C24,MAX(入力!$AI$35,1))=入力!$AI$35-1,入力!$AH$35,0)
+IF(MOD(C24,MAX(入力!$AI$36,1))=入力!$AI$36-1,入力!$AH$36,0)
+IF(MOD(C24,MAX(入力!$AI$37,1))=入力!$AI$37-1,入力!$AH$37,0)
+IF(MOD(C24,MAX(入力!$AI$38,1))=入力!$AI$38-1,入力!$AH$38,0)
)</f>
        <v>0</v>
      </c>
      <c r="AG24" s="3"/>
      <c r="AH24" s="3"/>
      <c r="AI24" s="3"/>
      <c r="AJ24" s="14"/>
      <c r="AK24" s="18">
        <f t="shared" si="9"/>
        <v>0</v>
      </c>
      <c r="AL24" s="24">
        <f t="shared" si="5"/>
        <v>-137.87736297322917</v>
      </c>
      <c r="AM24" s="24">
        <f t="shared" si="6"/>
        <v>-2206.5770690798308</v>
      </c>
    </row>
    <row r="25" spans="2:39" x14ac:dyDescent="0.25">
      <c r="B25" s="5">
        <f t="shared" si="10"/>
        <v>43</v>
      </c>
      <c r="C25" s="3">
        <f t="shared" si="10"/>
        <v>9</v>
      </c>
      <c r="D25" s="34"/>
      <c r="E25" s="3"/>
      <c r="F25" s="3"/>
      <c r="G25" s="3"/>
      <c r="H25" s="3"/>
      <c r="I25" s="14"/>
      <c r="J25" s="24">
        <f t="shared" si="0"/>
        <v>0</v>
      </c>
      <c r="K25" s="5">
        <f>IF($C25=0,入力!$W$27,0)+IF(AND($C25&gt;=0,$C25&lt;=入力!$W$29-1),入力!$W$35,0)+IF($C25&lt;0,VLOOKUP(親1!$C25,入力!$W$11:$Z$16,4,1),0)</f>
        <v>118.55999355342125</v>
      </c>
      <c r="L25" s="3">
        <f>住居計算!D32</f>
        <v>20.240329355342141</v>
      </c>
      <c r="M25" s="3"/>
      <c r="N25" s="3"/>
      <c r="O25" s="3"/>
      <c r="P25" s="3"/>
      <c r="Q25" s="3"/>
      <c r="R25" s="3"/>
      <c r="S25" s="14"/>
      <c r="T25" s="18">
        <f t="shared" si="1"/>
        <v>138.80032290876341</v>
      </c>
      <c r="U25" s="24">
        <f t="shared" si="2"/>
        <v>-138.80032290876341</v>
      </c>
      <c r="V25" s="5"/>
      <c r="W25" s="3"/>
      <c r="X25" s="3"/>
      <c r="Y25" s="3"/>
      <c r="Z25" s="3"/>
      <c r="AA25" s="3"/>
      <c r="AB25" s="14"/>
      <c r="AC25" s="18">
        <f t="shared" si="3"/>
        <v>0</v>
      </c>
      <c r="AD25" s="24">
        <f t="shared" si="4"/>
        <v>-138.80032290876341</v>
      </c>
      <c r="AE25" s="5">
        <f t="shared" si="8"/>
        <v>0</v>
      </c>
      <c r="AF25" s="3">
        <f>IF(C25&lt;0,0,
IF(MOD(C25,MAX(入力!$AI$29,1))=入力!$AI$29-1,入力!$AH$29,0)
+IF(MOD(C25,MAX(入力!$AI$30,1))=入力!$AI$30-1,入力!$AH$30,0)
+IF(MOD(C25,MAX(入力!$AI$31,1))=入力!$AI$31-1,入力!$AH$31,0)
+IF(MOD(C25,MAX(入力!$AI$32,1))=入力!$AI$32-1,入力!$AH$32,0)
+IF(MOD(C25,MAX(入力!$AI$33,1))=入力!$AI$33-1,入力!$AH$33,0)
+IF(MOD(C25,MAX(入力!$AI$34,1))=入力!$AI$34-1,入力!$AH$34,0)
+IF(MOD(C25,MAX(入力!$AI$35,1))=入力!$AI$35-1,入力!$AH$35,0)
+IF(MOD(C25,MAX(入力!$AI$36,1))=入力!$AI$36-1,入力!$AH$36,0)
+IF(MOD(C25,MAX(入力!$AI$37,1))=入力!$AI$37-1,入力!$AH$37,0)
+IF(MOD(C25,MAX(入力!$AI$38,1))=入力!$AI$38-1,入力!$AH$38,0)
)</f>
        <v>0</v>
      </c>
      <c r="AG25" s="3"/>
      <c r="AH25" s="3"/>
      <c r="AI25" s="3"/>
      <c r="AJ25" s="14"/>
      <c r="AK25" s="18">
        <f t="shared" si="9"/>
        <v>0</v>
      </c>
      <c r="AL25" s="24">
        <f t="shared" si="5"/>
        <v>-138.80032290876341</v>
      </c>
      <c r="AM25" s="24">
        <f t="shared" si="6"/>
        <v>-2345.3773919885944</v>
      </c>
    </row>
    <row r="26" spans="2:39" x14ac:dyDescent="0.25">
      <c r="B26" s="5">
        <f t="shared" si="10"/>
        <v>44</v>
      </c>
      <c r="C26" s="3">
        <f t="shared" si="10"/>
        <v>10</v>
      </c>
      <c r="D26" s="34"/>
      <c r="E26" s="3"/>
      <c r="F26" s="3"/>
      <c r="G26" s="3"/>
      <c r="H26" s="3"/>
      <c r="I26" s="14"/>
      <c r="J26" s="24">
        <f t="shared" si="0"/>
        <v>0</v>
      </c>
      <c r="K26" s="5">
        <f>IF($C26=0,入力!$W$27,0)+IF(AND($C26&gt;=0,$C26&lt;=入力!$W$29-1),入力!$W$35,0)+IF($C26&lt;0,VLOOKUP(親1!$C26,入力!$W$11:$Z$16,4,1),0)</f>
        <v>118.55999355342125</v>
      </c>
      <c r="L26" s="3">
        <f>住居計算!D33</f>
        <v>43.121689999999994</v>
      </c>
      <c r="M26" s="3"/>
      <c r="N26" s="3"/>
      <c r="O26" s="3"/>
      <c r="P26" s="3"/>
      <c r="Q26" s="3"/>
      <c r="R26" s="3"/>
      <c r="S26" s="14"/>
      <c r="T26" s="18">
        <f t="shared" si="1"/>
        <v>161.68168355342124</v>
      </c>
      <c r="U26" s="24">
        <f t="shared" si="2"/>
        <v>-161.68168355342124</v>
      </c>
      <c r="V26" s="5"/>
      <c r="W26" s="3"/>
      <c r="X26" s="3"/>
      <c r="Y26" s="3"/>
      <c r="Z26" s="3"/>
      <c r="AA26" s="3"/>
      <c r="AB26" s="14"/>
      <c r="AC26" s="18">
        <f t="shared" si="3"/>
        <v>0</v>
      </c>
      <c r="AD26" s="24">
        <f t="shared" si="4"/>
        <v>-161.68168355342124</v>
      </c>
      <c r="AE26" s="5">
        <f t="shared" si="8"/>
        <v>0</v>
      </c>
      <c r="AF26" s="3">
        <f>IF(C26&lt;0,0,
IF(MOD(C26,MAX(入力!$AI$29,1))=入力!$AI$29-1,入力!$AH$29,0)
+IF(MOD(C26,MAX(入力!$AI$30,1))=入力!$AI$30-1,入力!$AH$30,0)
+IF(MOD(C26,MAX(入力!$AI$31,1))=入力!$AI$31-1,入力!$AH$31,0)
+IF(MOD(C26,MAX(入力!$AI$32,1))=入力!$AI$32-1,入力!$AH$32,0)
+IF(MOD(C26,MAX(入力!$AI$33,1))=入力!$AI$33-1,入力!$AH$33,0)
+IF(MOD(C26,MAX(入力!$AI$34,1))=入力!$AI$34-1,入力!$AH$34,0)
+IF(MOD(C26,MAX(入力!$AI$35,1))=入力!$AI$35-1,入力!$AH$35,0)
+IF(MOD(C26,MAX(入力!$AI$36,1))=入力!$AI$36-1,入力!$AH$36,0)
+IF(MOD(C26,MAX(入力!$AI$37,1))=入力!$AI$37-1,入力!$AH$37,0)
+IF(MOD(C26,MAX(入力!$AI$38,1))=入力!$AI$38-1,入力!$AH$38,0)
)</f>
        <v>0</v>
      </c>
      <c r="AG26" s="3"/>
      <c r="AH26" s="3"/>
      <c r="AI26" s="3"/>
      <c r="AJ26" s="14"/>
      <c r="AK26" s="18">
        <f t="shared" si="9"/>
        <v>0</v>
      </c>
      <c r="AL26" s="24">
        <f t="shared" si="5"/>
        <v>-161.68168355342124</v>
      </c>
      <c r="AM26" s="24">
        <f t="shared" si="6"/>
        <v>-2507.0590755420158</v>
      </c>
    </row>
    <row r="27" spans="2:39" x14ac:dyDescent="0.25">
      <c r="B27" s="5">
        <f t="shared" si="10"/>
        <v>45</v>
      </c>
      <c r="C27" s="3">
        <f t="shared" si="10"/>
        <v>11</v>
      </c>
      <c r="D27" s="34"/>
      <c r="E27" s="3"/>
      <c r="F27" s="3"/>
      <c r="G27" s="3"/>
      <c r="H27" s="3"/>
      <c r="I27" s="14"/>
      <c r="J27" s="24">
        <f t="shared" si="0"/>
        <v>0</v>
      </c>
      <c r="K27" s="5">
        <f>IF($C27=0,入力!$W$27,0)+IF(AND($C27&gt;=0,$C27&lt;=入力!$W$29-1),入力!$W$35,0)+IF($C27&lt;0,VLOOKUP(親1!$C27,入力!$W$11:$Z$16,4,1),0)</f>
        <v>118.55999355342125</v>
      </c>
      <c r="L27" s="3">
        <f>住居計算!D34</f>
        <v>42.727729999999994</v>
      </c>
      <c r="M27" s="3"/>
      <c r="N27" s="3"/>
      <c r="O27" s="3"/>
      <c r="P27" s="3"/>
      <c r="Q27" s="3"/>
      <c r="R27" s="3"/>
      <c r="S27" s="14"/>
      <c r="T27" s="18">
        <f t="shared" si="1"/>
        <v>161.28772355342124</v>
      </c>
      <c r="U27" s="24">
        <f t="shared" si="2"/>
        <v>-161.28772355342124</v>
      </c>
      <c r="V27" s="5"/>
      <c r="W27" s="3"/>
      <c r="X27" s="3"/>
      <c r="Y27" s="3"/>
      <c r="Z27" s="3"/>
      <c r="AA27" s="3"/>
      <c r="AB27" s="14"/>
      <c r="AC27" s="18">
        <f t="shared" si="3"/>
        <v>0</v>
      </c>
      <c r="AD27" s="24">
        <f t="shared" si="4"/>
        <v>-161.28772355342124</v>
      </c>
      <c r="AE27" s="5">
        <f t="shared" si="8"/>
        <v>0</v>
      </c>
      <c r="AF27" s="3">
        <f>IF(C27&lt;0,0,
IF(MOD(C27,MAX(入力!$AI$29,1))=入力!$AI$29-1,入力!$AH$29,0)
+IF(MOD(C27,MAX(入力!$AI$30,1))=入力!$AI$30-1,入力!$AH$30,0)
+IF(MOD(C27,MAX(入力!$AI$31,1))=入力!$AI$31-1,入力!$AH$31,0)
+IF(MOD(C27,MAX(入力!$AI$32,1))=入力!$AI$32-1,入力!$AH$32,0)
+IF(MOD(C27,MAX(入力!$AI$33,1))=入力!$AI$33-1,入力!$AH$33,0)
+IF(MOD(C27,MAX(入力!$AI$34,1))=入力!$AI$34-1,入力!$AH$34,0)
+IF(MOD(C27,MAX(入力!$AI$35,1))=入力!$AI$35-1,入力!$AH$35,0)
+IF(MOD(C27,MAX(入力!$AI$36,1))=入力!$AI$36-1,入力!$AH$36,0)
+IF(MOD(C27,MAX(入力!$AI$37,1))=入力!$AI$37-1,入力!$AH$37,0)
+IF(MOD(C27,MAX(入力!$AI$38,1))=入力!$AI$38-1,入力!$AH$38,0)
)</f>
        <v>0</v>
      </c>
      <c r="AG27" s="3"/>
      <c r="AH27" s="3"/>
      <c r="AI27" s="3"/>
      <c r="AJ27" s="14"/>
      <c r="AK27" s="18">
        <f t="shared" si="9"/>
        <v>0</v>
      </c>
      <c r="AL27" s="24">
        <f t="shared" si="5"/>
        <v>-161.28772355342124</v>
      </c>
      <c r="AM27" s="24">
        <f t="shared" si="6"/>
        <v>-2668.3467990954368</v>
      </c>
    </row>
    <row r="28" spans="2:39" x14ac:dyDescent="0.25">
      <c r="B28" s="5">
        <f t="shared" si="10"/>
        <v>46</v>
      </c>
      <c r="C28" s="3">
        <f t="shared" si="10"/>
        <v>12</v>
      </c>
      <c r="D28" s="34"/>
      <c r="E28" s="3"/>
      <c r="F28" s="3"/>
      <c r="G28" s="3"/>
      <c r="H28" s="3"/>
      <c r="I28" s="14"/>
      <c r="J28" s="24">
        <f t="shared" si="0"/>
        <v>0</v>
      </c>
      <c r="K28" s="5">
        <f>IF($C28=0,入力!$W$27,0)+IF(AND($C28&gt;=0,$C28&lt;=入力!$W$29-1),入力!$W$35,0)+IF($C28&lt;0,VLOOKUP(親1!$C28,入力!$W$11:$Z$16,4,1),0)</f>
        <v>118.55999355342125</v>
      </c>
      <c r="L28" s="3">
        <f>住居計算!D35</f>
        <v>42.465089999999996</v>
      </c>
      <c r="M28" s="3"/>
      <c r="N28" s="3"/>
      <c r="O28" s="3"/>
      <c r="P28" s="3"/>
      <c r="Q28" s="3"/>
      <c r="R28" s="3"/>
      <c r="S28" s="14"/>
      <c r="T28" s="18">
        <f t="shared" si="1"/>
        <v>161.02508355342124</v>
      </c>
      <c r="U28" s="24">
        <f t="shared" si="2"/>
        <v>-161.02508355342124</v>
      </c>
      <c r="V28" s="5"/>
      <c r="W28" s="3"/>
      <c r="X28" s="3"/>
      <c r="Y28" s="3"/>
      <c r="Z28" s="3"/>
      <c r="AA28" s="3"/>
      <c r="AB28" s="14"/>
      <c r="AC28" s="18">
        <f t="shared" si="3"/>
        <v>0</v>
      </c>
      <c r="AD28" s="24">
        <f t="shared" si="4"/>
        <v>-161.02508355342124</v>
      </c>
      <c r="AE28" s="5">
        <f t="shared" si="8"/>
        <v>0</v>
      </c>
      <c r="AF28" s="3">
        <f>IF(C28&lt;0,0,
IF(MOD(C28,MAX(入力!$AI$29,1))=入力!$AI$29-1,入力!$AH$29,0)
+IF(MOD(C28,MAX(入力!$AI$30,1))=入力!$AI$30-1,入力!$AH$30,0)
+IF(MOD(C28,MAX(入力!$AI$31,1))=入力!$AI$31-1,入力!$AH$31,0)
+IF(MOD(C28,MAX(入力!$AI$32,1))=入力!$AI$32-1,入力!$AH$32,0)
+IF(MOD(C28,MAX(入力!$AI$33,1))=入力!$AI$33-1,入力!$AH$33,0)
+IF(MOD(C28,MAX(入力!$AI$34,1))=入力!$AI$34-1,入力!$AH$34,0)
+IF(MOD(C28,MAX(入力!$AI$35,1))=入力!$AI$35-1,入力!$AH$35,0)
+IF(MOD(C28,MAX(入力!$AI$36,1))=入力!$AI$36-1,入力!$AH$36,0)
+IF(MOD(C28,MAX(入力!$AI$37,1))=入力!$AI$37-1,入力!$AH$37,0)
+IF(MOD(C28,MAX(入力!$AI$38,1))=入力!$AI$38-1,入力!$AH$38,0)
)</f>
        <v>0</v>
      </c>
      <c r="AG28" s="3"/>
      <c r="AH28" s="3"/>
      <c r="AI28" s="3"/>
      <c r="AJ28" s="14"/>
      <c r="AK28" s="18">
        <f t="shared" si="9"/>
        <v>0</v>
      </c>
      <c r="AL28" s="24">
        <f t="shared" si="5"/>
        <v>-161.02508355342124</v>
      </c>
      <c r="AM28" s="24">
        <f t="shared" si="6"/>
        <v>-2829.371882648858</v>
      </c>
    </row>
    <row r="29" spans="2:39" x14ac:dyDescent="0.25">
      <c r="B29" s="5">
        <f t="shared" si="10"/>
        <v>47</v>
      </c>
      <c r="C29" s="3">
        <f t="shared" si="10"/>
        <v>13</v>
      </c>
      <c r="D29" s="34"/>
      <c r="E29" s="3"/>
      <c r="F29" s="3"/>
      <c r="G29" s="3"/>
      <c r="H29" s="3"/>
      <c r="I29" s="14"/>
      <c r="J29" s="24">
        <f t="shared" si="0"/>
        <v>0</v>
      </c>
      <c r="K29" s="5">
        <f>IF($C29=0,入力!$W$27,0)+IF(AND($C29&gt;=0,$C29&lt;=入力!$W$29-1),入力!$W$35,0)+IF($C29&lt;0,VLOOKUP(親1!$C29,入力!$W$11:$Z$16,4,1),0)</f>
        <v>118.55999355342125</v>
      </c>
      <c r="L29" s="3">
        <f>住居計算!D36</f>
        <v>42.202449999999999</v>
      </c>
      <c r="M29" s="3"/>
      <c r="N29" s="3"/>
      <c r="O29" s="3"/>
      <c r="P29" s="3"/>
      <c r="Q29" s="3"/>
      <c r="R29" s="3"/>
      <c r="S29" s="14"/>
      <c r="T29" s="18">
        <f t="shared" si="1"/>
        <v>160.76244355342124</v>
      </c>
      <c r="U29" s="24">
        <f t="shared" si="2"/>
        <v>-160.76244355342124</v>
      </c>
      <c r="V29" s="5"/>
      <c r="W29" s="3"/>
      <c r="X29" s="3"/>
      <c r="Y29" s="3"/>
      <c r="Z29" s="3"/>
      <c r="AA29" s="3"/>
      <c r="AB29" s="14"/>
      <c r="AC29" s="18">
        <f t="shared" si="3"/>
        <v>0</v>
      </c>
      <c r="AD29" s="24">
        <f t="shared" si="4"/>
        <v>-160.76244355342124</v>
      </c>
      <c r="AE29" s="5">
        <f t="shared" si="8"/>
        <v>0</v>
      </c>
      <c r="AF29" s="3">
        <f>IF(C29&lt;0,0,
IF(MOD(C29,MAX(入力!$AI$29,1))=入力!$AI$29-1,入力!$AH$29,0)
+IF(MOD(C29,MAX(入力!$AI$30,1))=入力!$AI$30-1,入力!$AH$30,0)
+IF(MOD(C29,MAX(入力!$AI$31,1))=入力!$AI$31-1,入力!$AH$31,0)
+IF(MOD(C29,MAX(入力!$AI$32,1))=入力!$AI$32-1,入力!$AH$32,0)
+IF(MOD(C29,MAX(入力!$AI$33,1))=入力!$AI$33-1,入力!$AH$33,0)
+IF(MOD(C29,MAX(入力!$AI$34,1))=入力!$AI$34-1,入力!$AH$34,0)
+IF(MOD(C29,MAX(入力!$AI$35,1))=入力!$AI$35-1,入力!$AH$35,0)
+IF(MOD(C29,MAX(入力!$AI$36,1))=入力!$AI$36-1,入力!$AH$36,0)
+IF(MOD(C29,MAX(入力!$AI$37,1))=入力!$AI$37-1,入力!$AH$37,0)
+IF(MOD(C29,MAX(入力!$AI$38,1))=入力!$AI$38-1,入力!$AH$38,0)
)</f>
        <v>0</v>
      </c>
      <c r="AG29" s="3"/>
      <c r="AH29" s="3"/>
      <c r="AI29" s="3"/>
      <c r="AJ29" s="14"/>
      <c r="AK29" s="18">
        <f t="shared" si="9"/>
        <v>0</v>
      </c>
      <c r="AL29" s="24">
        <f t="shared" si="5"/>
        <v>-160.76244355342124</v>
      </c>
      <c r="AM29" s="24">
        <f t="shared" si="6"/>
        <v>-2990.1343262022792</v>
      </c>
    </row>
    <row r="30" spans="2:39" x14ac:dyDescent="0.25">
      <c r="B30" s="5">
        <f t="shared" si="10"/>
        <v>48</v>
      </c>
      <c r="C30" s="3">
        <f t="shared" si="10"/>
        <v>14</v>
      </c>
      <c r="D30" s="34"/>
      <c r="E30" s="3"/>
      <c r="F30" s="3"/>
      <c r="G30" s="3"/>
      <c r="H30" s="3"/>
      <c r="I30" s="14"/>
      <c r="J30" s="24">
        <f t="shared" si="0"/>
        <v>0</v>
      </c>
      <c r="K30" s="5">
        <f>IF($C30=0,入力!$W$27,0)+IF(AND($C30&gt;=0,$C30&lt;=入力!$W$29-1),入力!$W$35,0)+IF($C30&lt;0,VLOOKUP(親1!$C30,入力!$W$11:$Z$16,4,1),0)</f>
        <v>118.55999355342125</v>
      </c>
      <c r="L30" s="3">
        <f>住居計算!D37</f>
        <v>41.808489999999992</v>
      </c>
      <c r="M30" s="3"/>
      <c r="N30" s="3"/>
      <c r="O30" s="3"/>
      <c r="P30" s="3"/>
      <c r="Q30" s="3"/>
      <c r="R30" s="3"/>
      <c r="S30" s="14"/>
      <c r="T30" s="18">
        <f t="shared" si="1"/>
        <v>160.36848355342124</v>
      </c>
      <c r="U30" s="24">
        <f t="shared" si="2"/>
        <v>-160.36848355342124</v>
      </c>
      <c r="V30" s="5"/>
      <c r="W30" s="3"/>
      <c r="X30" s="3"/>
      <c r="Y30" s="3"/>
      <c r="Z30" s="3"/>
      <c r="AA30" s="3"/>
      <c r="AB30" s="14"/>
      <c r="AC30" s="18">
        <f t="shared" si="3"/>
        <v>0</v>
      </c>
      <c r="AD30" s="24">
        <f t="shared" si="4"/>
        <v>-160.36848355342124</v>
      </c>
      <c r="AE30" s="5">
        <f t="shared" si="8"/>
        <v>0</v>
      </c>
      <c r="AF30" s="3">
        <f>IF(C30&lt;0,0,
IF(MOD(C30,MAX(入力!$AI$29,1))=入力!$AI$29-1,入力!$AH$29,0)
+IF(MOD(C30,MAX(入力!$AI$30,1))=入力!$AI$30-1,入力!$AH$30,0)
+IF(MOD(C30,MAX(入力!$AI$31,1))=入力!$AI$31-1,入力!$AH$31,0)
+IF(MOD(C30,MAX(入力!$AI$32,1))=入力!$AI$32-1,入力!$AH$32,0)
+IF(MOD(C30,MAX(入力!$AI$33,1))=入力!$AI$33-1,入力!$AH$33,0)
+IF(MOD(C30,MAX(入力!$AI$34,1))=入力!$AI$34-1,入力!$AH$34,0)
+IF(MOD(C30,MAX(入力!$AI$35,1))=入力!$AI$35-1,入力!$AH$35,0)
+IF(MOD(C30,MAX(入力!$AI$36,1))=入力!$AI$36-1,入力!$AH$36,0)
+IF(MOD(C30,MAX(入力!$AI$37,1))=入力!$AI$37-1,入力!$AH$37,0)
+IF(MOD(C30,MAX(入力!$AI$38,1))=入力!$AI$38-1,入力!$AH$38,0)
)</f>
        <v>0</v>
      </c>
      <c r="AG30" s="3"/>
      <c r="AH30" s="3"/>
      <c r="AI30" s="3"/>
      <c r="AJ30" s="14"/>
      <c r="AK30" s="18">
        <f t="shared" si="9"/>
        <v>0</v>
      </c>
      <c r="AL30" s="24">
        <f t="shared" si="5"/>
        <v>-160.36848355342124</v>
      </c>
      <c r="AM30" s="24">
        <f t="shared" si="6"/>
        <v>-3150.5028097557006</v>
      </c>
    </row>
    <row r="31" spans="2:39" x14ac:dyDescent="0.25">
      <c r="B31" s="5">
        <f t="shared" si="10"/>
        <v>49</v>
      </c>
      <c r="C31" s="3">
        <f t="shared" si="10"/>
        <v>15</v>
      </c>
      <c r="D31" s="34"/>
      <c r="E31" s="3"/>
      <c r="F31" s="3"/>
      <c r="G31" s="3"/>
      <c r="H31" s="3"/>
      <c r="I31" s="14"/>
      <c r="J31" s="24">
        <f t="shared" si="0"/>
        <v>0</v>
      </c>
      <c r="K31" s="5">
        <f>IF($C31=0,入力!$W$27,0)+IF(AND($C31&gt;=0,$C31&lt;=入力!$W$29-1),入力!$W$35,0)+IF($C31&lt;0,VLOOKUP(親1!$C31,入力!$W$11:$Z$16,4,1),0)</f>
        <v>118.55999355342125</v>
      </c>
      <c r="L31" s="3">
        <f>住居計算!D38</f>
        <v>41.545849999999994</v>
      </c>
      <c r="M31" s="3"/>
      <c r="N31" s="3"/>
      <c r="O31" s="3"/>
      <c r="P31" s="3"/>
      <c r="Q31" s="3"/>
      <c r="R31" s="3"/>
      <c r="S31" s="14"/>
      <c r="T31" s="18">
        <f t="shared" si="1"/>
        <v>160.10584355342124</v>
      </c>
      <c r="U31" s="24">
        <f t="shared" si="2"/>
        <v>-160.10584355342124</v>
      </c>
      <c r="V31" s="5"/>
      <c r="W31" s="3"/>
      <c r="X31" s="3"/>
      <c r="Y31" s="3"/>
      <c r="Z31" s="3"/>
      <c r="AA31" s="3"/>
      <c r="AB31" s="14"/>
      <c r="AC31" s="18">
        <f t="shared" si="3"/>
        <v>0</v>
      </c>
      <c r="AD31" s="24">
        <f t="shared" si="4"/>
        <v>-160.10584355342124</v>
      </c>
      <c r="AE31" s="5">
        <f t="shared" si="8"/>
        <v>0</v>
      </c>
      <c r="AF31" s="3">
        <f>IF(C31&lt;0,0,
IF(MOD(C31,MAX(入力!$AI$29,1))=入力!$AI$29-1,入力!$AH$29,0)
+IF(MOD(C31,MAX(入力!$AI$30,1))=入力!$AI$30-1,入力!$AH$30,0)
+IF(MOD(C31,MAX(入力!$AI$31,1))=入力!$AI$31-1,入力!$AH$31,0)
+IF(MOD(C31,MAX(入力!$AI$32,1))=入力!$AI$32-1,入力!$AH$32,0)
+IF(MOD(C31,MAX(入力!$AI$33,1))=入力!$AI$33-1,入力!$AH$33,0)
+IF(MOD(C31,MAX(入力!$AI$34,1))=入力!$AI$34-1,入力!$AH$34,0)
+IF(MOD(C31,MAX(入力!$AI$35,1))=入力!$AI$35-1,入力!$AH$35,0)
+IF(MOD(C31,MAX(入力!$AI$36,1))=入力!$AI$36-1,入力!$AH$36,0)
+IF(MOD(C31,MAX(入力!$AI$37,1))=入力!$AI$37-1,入力!$AH$37,0)
+IF(MOD(C31,MAX(入力!$AI$38,1))=入力!$AI$38-1,入力!$AH$38,0)
)</f>
        <v>0</v>
      </c>
      <c r="AG31" s="3"/>
      <c r="AH31" s="3"/>
      <c r="AI31" s="3"/>
      <c r="AJ31" s="14"/>
      <c r="AK31" s="18">
        <f t="shared" si="9"/>
        <v>0</v>
      </c>
      <c r="AL31" s="24">
        <f t="shared" si="5"/>
        <v>-160.10584355342124</v>
      </c>
      <c r="AM31" s="24">
        <f t="shared" si="6"/>
        <v>-3310.608653309122</v>
      </c>
    </row>
    <row r="32" spans="2:39" x14ac:dyDescent="0.25">
      <c r="B32" s="5">
        <f t="shared" si="10"/>
        <v>50</v>
      </c>
      <c r="C32" s="3">
        <f t="shared" si="10"/>
        <v>16</v>
      </c>
      <c r="D32" s="34"/>
      <c r="E32" s="3"/>
      <c r="F32" s="3"/>
      <c r="G32" s="3"/>
      <c r="H32" s="3"/>
      <c r="I32" s="14"/>
      <c r="J32" s="24">
        <f t="shared" si="0"/>
        <v>0</v>
      </c>
      <c r="K32" s="5">
        <f>IF($C32=0,入力!$W$27,0)+IF(AND($C32&gt;=0,$C32&lt;=入力!$W$29-1),入力!$W$35,0)+IF($C32&lt;0,VLOOKUP(親1!$C32,入力!$W$11:$Z$16,4,1),0)</f>
        <v>118.55999355342125</v>
      </c>
      <c r="L32" s="3">
        <f>住居計算!D39</f>
        <v>41.283209999999997</v>
      </c>
      <c r="M32" s="3"/>
      <c r="N32" s="3"/>
      <c r="O32" s="3"/>
      <c r="P32" s="3"/>
      <c r="Q32" s="3"/>
      <c r="R32" s="3"/>
      <c r="S32" s="14"/>
      <c r="T32" s="18">
        <f t="shared" si="1"/>
        <v>159.84320355342123</v>
      </c>
      <c r="U32" s="24">
        <f t="shared" si="2"/>
        <v>-159.84320355342123</v>
      </c>
      <c r="V32" s="5"/>
      <c r="W32" s="3"/>
      <c r="X32" s="3"/>
      <c r="Y32" s="3"/>
      <c r="Z32" s="3"/>
      <c r="AA32" s="3"/>
      <c r="AB32" s="14"/>
      <c r="AC32" s="18">
        <f t="shared" si="3"/>
        <v>0</v>
      </c>
      <c r="AD32" s="24">
        <f t="shared" si="4"/>
        <v>-159.84320355342123</v>
      </c>
      <c r="AE32" s="5">
        <f t="shared" si="8"/>
        <v>0</v>
      </c>
      <c r="AF32" s="3">
        <f>IF(C32&lt;0,0,
IF(MOD(C32,MAX(入力!$AI$29,1))=入力!$AI$29-1,入力!$AH$29,0)
+IF(MOD(C32,MAX(入力!$AI$30,1))=入力!$AI$30-1,入力!$AH$30,0)
+IF(MOD(C32,MAX(入力!$AI$31,1))=入力!$AI$31-1,入力!$AH$31,0)
+IF(MOD(C32,MAX(入力!$AI$32,1))=入力!$AI$32-1,入力!$AH$32,0)
+IF(MOD(C32,MAX(入力!$AI$33,1))=入力!$AI$33-1,入力!$AH$33,0)
+IF(MOD(C32,MAX(入力!$AI$34,1))=入力!$AI$34-1,入力!$AH$34,0)
+IF(MOD(C32,MAX(入力!$AI$35,1))=入力!$AI$35-1,入力!$AH$35,0)
+IF(MOD(C32,MAX(入力!$AI$36,1))=入力!$AI$36-1,入力!$AH$36,0)
+IF(MOD(C32,MAX(入力!$AI$37,1))=入力!$AI$37-1,入力!$AH$37,0)
+IF(MOD(C32,MAX(入力!$AI$38,1))=入力!$AI$38-1,入力!$AH$38,0)
)</f>
        <v>0</v>
      </c>
      <c r="AG32" s="3"/>
      <c r="AH32" s="3"/>
      <c r="AI32" s="3"/>
      <c r="AJ32" s="14"/>
      <c r="AK32" s="18">
        <f t="shared" si="9"/>
        <v>0</v>
      </c>
      <c r="AL32" s="24">
        <f t="shared" si="5"/>
        <v>-159.84320355342123</v>
      </c>
      <c r="AM32" s="24">
        <f t="shared" si="6"/>
        <v>-3470.4518568625431</v>
      </c>
    </row>
    <row r="33" spans="2:39" x14ac:dyDescent="0.25">
      <c r="B33" s="5">
        <f t="shared" si="10"/>
        <v>51</v>
      </c>
      <c r="C33" s="3">
        <f t="shared" si="10"/>
        <v>17</v>
      </c>
      <c r="D33" s="34"/>
      <c r="E33" s="3"/>
      <c r="F33" s="3"/>
      <c r="G33" s="3"/>
      <c r="H33" s="3"/>
      <c r="I33" s="14"/>
      <c r="J33" s="24">
        <f t="shared" si="0"/>
        <v>0</v>
      </c>
      <c r="K33" s="5">
        <f>IF($C33=0,入力!$W$27,0)+IF(AND($C33&gt;=0,$C33&lt;=入力!$W$29-1),入力!$W$35,0)+IF($C33&lt;0,VLOOKUP(親1!$C33,入力!$W$11:$Z$16,4,1),0)</f>
        <v>118.55999355342125</v>
      </c>
      <c r="L33" s="3">
        <f>住居計算!D40</f>
        <v>40.889249999999997</v>
      </c>
      <c r="M33" s="3"/>
      <c r="N33" s="3"/>
      <c r="O33" s="3"/>
      <c r="P33" s="3"/>
      <c r="Q33" s="3"/>
      <c r="R33" s="3"/>
      <c r="S33" s="14"/>
      <c r="T33" s="18">
        <f t="shared" si="1"/>
        <v>159.44924355342124</v>
      </c>
      <c r="U33" s="24">
        <f t="shared" si="2"/>
        <v>-159.44924355342124</v>
      </c>
      <c r="V33" s="5"/>
      <c r="W33" s="3"/>
      <c r="X33" s="3"/>
      <c r="Y33" s="3"/>
      <c r="Z33" s="3"/>
      <c r="AA33" s="3"/>
      <c r="AB33" s="14"/>
      <c r="AC33" s="18">
        <f t="shared" si="3"/>
        <v>0</v>
      </c>
      <c r="AD33" s="24">
        <f t="shared" si="4"/>
        <v>-159.44924355342124</v>
      </c>
      <c r="AE33" s="5">
        <f t="shared" si="8"/>
        <v>0</v>
      </c>
      <c r="AF33" s="3">
        <f>IF(C33&lt;0,0,
IF(MOD(C33,MAX(入力!$AI$29,1))=入力!$AI$29-1,入力!$AH$29,0)
+IF(MOD(C33,MAX(入力!$AI$30,1))=入力!$AI$30-1,入力!$AH$30,0)
+IF(MOD(C33,MAX(入力!$AI$31,1))=入力!$AI$31-1,入力!$AH$31,0)
+IF(MOD(C33,MAX(入力!$AI$32,1))=入力!$AI$32-1,入力!$AH$32,0)
+IF(MOD(C33,MAX(入力!$AI$33,1))=入力!$AI$33-1,入力!$AH$33,0)
+IF(MOD(C33,MAX(入力!$AI$34,1))=入力!$AI$34-1,入力!$AH$34,0)
+IF(MOD(C33,MAX(入力!$AI$35,1))=入力!$AI$35-1,入力!$AH$35,0)
+IF(MOD(C33,MAX(入力!$AI$36,1))=入力!$AI$36-1,入力!$AH$36,0)
+IF(MOD(C33,MAX(入力!$AI$37,1))=入力!$AI$37-1,入力!$AH$37,0)
+IF(MOD(C33,MAX(入力!$AI$38,1))=入力!$AI$38-1,入力!$AH$38,0)
)</f>
        <v>0</v>
      </c>
      <c r="AG33" s="3"/>
      <c r="AH33" s="3"/>
      <c r="AI33" s="3"/>
      <c r="AJ33" s="14"/>
      <c r="AK33" s="18">
        <f t="shared" si="9"/>
        <v>0</v>
      </c>
      <c r="AL33" s="24">
        <f t="shared" si="5"/>
        <v>-159.44924355342124</v>
      </c>
      <c r="AM33" s="24">
        <f t="shared" si="6"/>
        <v>-3629.9011004159643</v>
      </c>
    </row>
    <row r="34" spans="2:39" x14ac:dyDescent="0.25">
      <c r="B34" s="5">
        <f t="shared" si="10"/>
        <v>52</v>
      </c>
      <c r="C34" s="3">
        <f t="shared" si="10"/>
        <v>18</v>
      </c>
      <c r="D34" s="34"/>
      <c r="E34" s="3"/>
      <c r="F34" s="3"/>
      <c r="G34" s="3"/>
      <c r="H34" s="3"/>
      <c r="I34" s="14"/>
      <c r="J34" s="24">
        <f t="shared" si="0"/>
        <v>0</v>
      </c>
      <c r="K34" s="5">
        <f>IF($C34=0,入力!$W$27,0)+IF(AND($C34&gt;=0,$C34&lt;=入力!$W$29-1),入力!$W$35,0)+IF($C34&lt;0,VLOOKUP(親1!$C34,入力!$W$11:$Z$16,4,1),0)</f>
        <v>118.55999355342125</v>
      </c>
      <c r="L34" s="3">
        <f>住居計算!D41</f>
        <v>40.626609999999999</v>
      </c>
      <c r="M34" s="3"/>
      <c r="N34" s="3"/>
      <c r="O34" s="3"/>
      <c r="P34" s="3"/>
      <c r="Q34" s="3"/>
      <c r="R34" s="3"/>
      <c r="S34" s="14"/>
      <c r="T34" s="18">
        <f t="shared" si="1"/>
        <v>159.18660355342126</v>
      </c>
      <c r="U34" s="24">
        <f t="shared" si="2"/>
        <v>-159.18660355342126</v>
      </c>
      <c r="V34" s="5"/>
      <c r="W34" s="3"/>
      <c r="X34" s="3"/>
      <c r="Y34" s="3"/>
      <c r="Z34" s="3"/>
      <c r="AA34" s="3"/>
      <c r="AB34" s="14"/>
      <c r="AC34" s="18">
        <f t="shared" si="3"/>
        <v>0</v>
      </c>
      <c r="AD34" s="24">
        <f t="shared" si="4"/>
        <v>-159.18660355342126</v>
      </c>
      <c r="AE34" s="5">
        <f t="shared" si="8"/>
        <v>0</v>
      </c>
      <c r="AF34" s="3">
        <f>IF(C34&lt;0,0,
IF(MOD(C34,MAX(入力!$AI$29,1))=入力!$AI$29-1,入力!$AH$29,0)
+IF(MOD(C34,MAX(入力!$AI$30,1))=入力!$AI$30-1,入力!$AH$30,0)
+IF(MOD(C34,MAX(入力!$AI$31,1))=入力!$AI$31-1,入力!$AH$31,0)
+IF(MOD(C34,MAX(入力!$AI$32,1))=入力!$AI$32-1,入力!$AH$32,0)
+IF(MOD(C34,MAX(入力!$AI$33,1))=入力!$AI$33-1,入力!$AH$33,0)
+IF(MOD(C34,MAX(入力!$AI$34,1))=入力!$AI$34-1,入力!$AH$34,0)
+IF(MOD(C34,MAX(入力!$AI$35,1))=入力!$AI$35-1,入力!$AH$35,0)
+IF(MOD(C34,MAX(入力!$AI$36,1))=入力!$AI$36-1,入力!$AH$36,0)
+IF(MOD(C34,MAX(入力!$AI$37,1))=入力!$AI$37-1,入力!$AH$37,0)
+IF(MOD(C34,MAX(入力!$AI$38,1))=入力!$AI$38-1,入力!$AH$38,0)
)</f>
        <v>0</v>
      </c>
      <c r="AG34" s="3"/>
      <c r="AH34" s="3"/>
      <c r="AI34" s="3"/>
      <c r="AJ34" s="14"/>
      <c r="AK34" s="18">
        <f t="shared" si="9"/>
        <v>0</v>
      </c>
      <c r="AL34" s="24">
        <f t="shared" si="5"/>
        <v>-159.18660355342126</v>
      </c>
      <c r="AM34" s="24">
        <f t="shared" si="6"/>
        <v>-3789.0877039693855</v>
      </c>
    </row>
    <row r="35" spans="2:39" x14ac:dyDescent="0.25">
      <c r="B35" s="5">
        <f t="shared" si="10"/>
        <v>53</v>
      </c>
      <c r="C35" s="3">
        <f t="shared" si="10"/>
        <v>19</v>
      </c>
      <c r="D35" s="34"/>
      <c r="E35" s="3"/>
      <c r="F35" s="3"/>
      <c r="G35" s="3"/>
      <c r="H35" s="3"/>
      <c r="I35" s="14"/>
      <c r="J35" s="24">
        <f t="shared" si="0"/>
        <v>0</v>
      </c>
      <c r="K35" s="5">
        <f>IF($C35=0,入力!$W$27,0)+IF(AND($C35&gt;=0,$C35&lt;=入力!$W$29-1),入力!$W$35,0)+IF($C35&lt;0,VLOOKUP(親1!$C35,入力!$W$11:$Z$16,4,1),0)</f>
        <v>118.55999355342125</v>
      </c>
      <c r="L35" s="3">
        <f>住居計算!D42</f>
        <v>40.232649999999992</v>
      </c>
      <c r="M35" s="3"/>
      <c r="N35" s="3"/>
      <c r="O35" s="3"/>
      <c r="P35" s="3"/>
      <c r="Q35" s="3"/>
      <c r="R35" s="3"/>
      <c r="S35" s="14"/>
      <c r="T35" s="18">
        <f t="shared" si="1"/>
        <v>158.79264355342124</v>
      </c>
      <c r="U35" s="24">
        <f t="shared" si="2"/>
        <v>-158.79264355342124</v>
      </c>
      <c r="V35" s="5"/>
      <c r="W35" s="3"/>
      <c r="X35" s="3"/>
      <c r="Y35" s="3"/>
      <c r="Z35" s="3"/>
      <c r="AA35" s="3"/>
      <c r="AB35" s="14"/>
      <c r="AC35" s="18">
        <f t="shared" si="3"/>
        <v>0</v>
      </c>
      <c r="AD35" s="24">
        <f t="shared" si="4"/>
        <v>-158.79264355342124</v>
      </c>
      <c r="AE35" s="5">
        <f t="shared" si="8"/>
        <v>0</v>
      </c>
      <c r="AF35" s="3">
        <f>IF(C35&lt;0,0,
IF(MOD(C35,MAX(入力!$AI$29,1))=入力!$AI$29-1,入力!$AH$29,0)
+IF(MOD(C35,MAX(入力!$AI$30,1))=入力!$AI$30-1,入力!$AH$30,0)
+IF(MOD(C35,MAX(入力!$AI$31,1))=入力!$AI$31-1,入力!$AH$31,0)
+IF(MOD(C35,MAX(入力!$AI$32,1))=入力!$AI$32-1,入力!$AH$32,0)
+IF(MOD(C35,MAX(入力!$AI$33,1))=入力!$AI$33-1,入力!$AH$33,0)
+IF(MOD(C35,MAX(入力!$AI$34,1))=入力!$AI$34-1,入力!$AH$34,0)
+IF(MOD(C35,MAX(入力!$AI$35,1))=入力!$AI$35-1,入力!$AH$35,0)
+IF(MOD(C35,MAX(入力!$AI$36,1))=入力!$AI$36-1,入力!$AH$36,0)
+IF(MOD(C35,MAX(入力!$AI$37,1))=入力!$AI$37-1,入力!$AH$37,0)
+IF(MOD(C35,MAX(入力!$AI$38,1))=入力!$AI$38-1,入力!$AH$38,0)
)</f>
        <v>316</v>
      </c>
      <c r="AG35" s="3"/>
      <c r="AH35" s="3"/>
      <c r="AI35" s="3"/>
      <c r="AJ35" s="14"/>
      <c r="AK35" s="18">
        <f t="shared" si="9"/>
        <v>316</v>
      </c>
      <c r="AL35" s="24">
        <f t="shared" si="5"/>
        <v>-474.79264355342127</v>
      </c>
      <c r="AM35" s="24">
        <f t="shared" si="6"/>
        <v>-4263.8803475228069</v>
      </c>
    </row>
    <row r="36" spans="2:39" x14ac:dyDescent="0.25">
      <c r="B36" s="5">
        <f t="shared" si="10"/>
        <v>54</v>
      </c>
      <c r="C36" s="3">
        <f t="shared" si="10"/>
        <v>20</v>
      </c>
      <c r="D36" s="34"/>
      <c r="E36" s="3"/>
      <c r="F36" s="3"/>
      <c r="G36" s="3"/>
      <c r="H36" s="3"/>
      <c r="I36" s="14"/>
      <c r="J36" s="24">
        <f t="shared" si="0"/>
        <v>0</v>
      </c>
      <c r="K36" s="5">
        <f>IF($C36=0,入力!$W$27,0)+IF(AND($C36&gt;=0,$C36&lt;=入力!$W$29-1),入力!$W$35,0)+IF($C36&lt;0,VLOOKUP(親1!$C36,入力!$W$11:$Z$16,4,1),0)</f>
        <v>118.55999355342125</v>
      </c>
      <c r="L36" s="3">
        <f>住居計算!D43</f>
        <v>39.970009999999995</v>
      </c>
      <c r="M36" s="3"/>
      <c r="N36" s="3"/>
      <c r="O36" s="3"/>
      <c r="P36" s="3"/>
      <c r="Q36" s="3"/>
      <c r="R36" s="3"/>
      <c r="S36" s="14"/>
      <c r="T36" s="18">
        <f t="shared" si="1"/>
        <v>158.53000355342124</v>
      </c>
      <c r="U36" s="24">
        <f t="shared" si="2"/>
        <v>-158.53000355342124</v>
      </c>
      <c r="V36" s="5"/>
      <c r="W36" s="3"/>
      <c r="X36" s="3"/>
      <c r="Y36" s="3"/>
      <c r="Z36" s="3"/>
      <c r="AA36" s="3"/>
      <c r="AB36" s="14"/>
      <c r="AC36" s="18">
        <f t="shared" si="3"/>
        <v>0</v>
      </c>
      <c r="AD36" s="24">
        <f t="shared" si="4"/>
        <v>-158.53000355342124</v>
      </c>
      <c r="AE36" s="5">
        <f t="shared" si="8"/>
        <v>0</v>
      </c>
      <c r="AF36" s="3">
        <f>IF(C36&lt;0,0,
IF(MOD(C36,MAX(入力!$AI$29,1))=入力!$AI$29-1,入力!$AH$29,0)
+IF(MOD(C36,MAX(入力!$AI$30,1))=入力!$AI$30-1,入力!$AH$30,0)
+IF(MOD(C36,MAX(入力!$AI$31,1))=入力!$AI$31-1,入力!$AH$31,0)
+IF(MOD(C36,MAX(入力!$AI$32,1))=入力!$AI$32-1,入力!$AH$32,0)
+IF(MOD(C36,MAX(入力!$AI$33,1))=入力!$AI$33-1,入力!$AH$33,0)
+IF(MOD(C36,MAX(入力!$AI$34,1))=入力!$AI$34-1,入力!$AH$34,0)
+IF(MOD(C36,MAX(入力!$AI$35,1))=入力!$AI$35-1,入力!$AH$35,0)
+IF(MOD(C36,MAX(入力!$AI$36,1))=入力!$AI$36-1,入力!$AH$36,0)
+IF(MOD(C36,MAX(入力!$AI$37,1))=入力!$AI$37-1,入力!$AH$37,0)
+IF(MOD(C36,MAX(入力!$AI$38,1))=入力!$AI$38-1,入力!$AH$38,0)
)</f>
        <v>0</v>
      </c>
      <c r="AG36" s="3"/>
      <c r="AH36" s="3"/>
      <c r="AI36" s="3"/>
      <c r="AJ36" s="14"/>
      <c r="AK36" s="18">
        <f t="shared" si="9"/>
        <v>0</v>
      </c>
      <c r="AL36" s="24">
        <f t="shared" si="5"/>
        <v>-158.53000355342124</v>
      </c>
      <c r="AM36" s="24">
        <f t="shared" si="6"/>
        <v>-4422.4103510762279</v>
      </c>
    </row>
    <row r="37" spans="2:39" x14ac:dyDescent="0.25">
      <c r="B37" s="5">
        <f t="shared" si="10"/>
        <v>55</v>
      </c>
      <c r="C37" s="3">
        <f t="shared" si="10"/>
        <v>21</v>
      </c>
      <c r="D37" s="34"/>
      <c r="E37" s="3"/>
      <c r="F37" s="3"/>
      <c r="G37" s="3"/>
      <c r="H37" s="3"/>
      <c r="I37" s="14"/>
      <c r="J37" s="24">
        <f t="shared" si="0"/>
        <v>0</v>
      </c>
      <c r="K37" s="5">
        <f>IF($C37=0,入力!$W$27,0)+IF(AND($C37&gt;=0,$C37&lt;=入力!$W$29-1),入力!$W$35,0)+IF($C37&lt;0,VLOOKUP(親1!$C37,入力!$W$11:$Z$16,4,1),0)</f>
        <v>118.55999355342125</v>
      </c>
      <c r="L37" s="3">
        <f>住居計算!D44</f>
        <v>39.707369999999997</v>
      </c>
      <c r="M37" s="3"/>
      <c r="N37" s="3"/>
      <c r="O37" s="3"/>
      <c r="P37" s="3"/>
      <c r="Q37" s="3"/>
      <c r="R37" s="3"/>
      <c r="S37" s="14"/>
      <c r="T37" s="18">
        <f t="shared" si="1"/>
        <v>158.26736355342126</v>
      </c>
      <c r="U37" s="24">
        <f t="shared" si="2"/>
        <v>-158.26736355342126</v>
      </c>
      <c r="V37" s="5"/>
      <c r="W37" s="3"/>
      <c r="X37" s="3"/>
      <c r="Y37" s="3"/>
      <c r="Z37" s="3"/>
      <c r="AA37" s="3"/>
      <c r="AB37" s="14"/>
      <c r="AC37" s="18">
        <f t="shared" si="3"/>
        <v>0</v>
      </c>
      <c r="AD37" s="24">
        <f t="shared" si="4"/>
        <v>-158.26736355342126</v>
      </c>
      <c r="AE37" s="5">
        <f t="shared" si="8"/>
        <v>0</v>
      </c>
      <c r="AF37" s="3">
        <f>IF(C37&lt;0,0,
IF(MOD(C37,MAX(入力!$AI$29,1))=入力!$AI$29-1,入力!$AH$29,0)
+IF(MOD(C37,MAX(入力!$AI$30,1))=入力!$AI$30-1,入力!$AH$30,0)
+IF(MOD(C37,MAX(入力!$AI$31,1))=入力!$AI$31-1,入力!$AH$31,0)
+IF(MOD(C37,MAX(入力!$AI$32,1))=入力!$AI$32-1,入力!$AH$32,0)
+IF(MOD(C37,MAX(入力!$AI$33,1))=入力!$AI$33-1,入力!$AH$33,0)
+IF(MOD(C37,MAX(入力!$AI$34,1))=入力!$AI$34-1,入力!$AH$34,0)
+IF(MOD(C37,MAX(入力!$AI$35,1))=入力!$AI$35-1,入力!$AH$35,0)
+IF(MOD(C37,MAX(入力!$AI$36,1))=入力!$AI$36-1,入力!$AH$36,0)
+IF(MOD(C37,MAX(入力!$AI$37,1))=入力!$AI$37-1,入力!$AH$37,0)
+IF(MOD(C37,MAX(入力!$AI$38,1))=入力!$AI$38-1,入力!$AH$38,0)
)</f>
        <v>0</v>
      </c>
      <c r="AG37" s="3"/>
      <c r="AH37" s="3"/>
      <c r="AI37" s="3"/>
      <c r="AJ37" s="14"/>
      <c r="AK37" s="18">
        <f t="shared" si="9"/>
        <v>0</v>
      </c>
      <c r="AL37" s="24">
        <f t="shared" si="5"/>
        <v>-158.26736355342126</v>
      </c>
      <c r="AM37" s="24">
        <f t="shared" si="6"/>
        <v>-4580.677714629649</v>
      </c>
    </row>
    <row r="38" spans="2:39" x14ac:dyDescent="0.25">
      <c r="B38" s="5">
        <f t="shared" si="10"/>
        <v>56</v>
      </c>
      <c r="C38" s="3">
        <f t="shared" si="10"/>
        <v>22</v>
      </c>
      <c r="D38" s="34"/>
      <c r="E38" s="3"/>
      <c r="F38" s="3"/>
      <c r="G38" s="3"/>
      <c r="H38" s="3"/>
      <c r="I38" s="14"/>
      <c r="J38" s="24">
        <f t="shared" si="0"/>
        <v>0</v>
      </c>
      <c r="K38" s="5">
        <f>IF($C38=0,入力!$W$27,0)+IF(AND($C38&gt;=0,$C38&lt;=入力!$W$29-1),入力!$W$35,0)+IF($C38&lt;0,VLOOKUP(親1!$C38,入力!$W$11:$Z$16,4,1),0)</f>
        <v>118.55999355342125</v>
      </c>
      <c r="L38" s="3">
        <f>住居計算!D45</f>
        <v>39.444729999999993</v>
      </c>
      <c r="M38" s="3"/>
      <c r="N38" s="3"/>
      <c r="O38" s="3"/>
      <c r="P38" s="3"/>
      <c r="Q38" s="3"/>
      <c r="R38" s="3"/>
      <c r="S38" s="14"/>
      <c r="T38" s="18">
        <f t="shared" si="1"/>
        <v>158.00472355342123</v>
      </c>
      <c r="U38" s="24">
        <f t="shared" si="2"/>
        <v>-158.00472355342123</v>
      </c>
      <c r="V38" s="5"/>
      <c r="W38" s="3"/>
      <c r="X38" s="3"/>
      <c r="Y38" s="3"/>
      <c r="Z38" s="3"/>
      <c r="AA38" s="3"/>
      <c r="AB38" s="14"/>
      <c r="AC38" s="18">
        <f t="shared" si="3"/>
        <v>0</v>
      </c>
      <c r="AD38" s="24">
        <f t="shared" si="4"/>
        <v>-158.00472355342123</v>
      </c>
      <c r="AE38" s="5">
        <f t="shared" si="8"/>
        <v>0</v>
      </c>
      <c r="AF38" s="3">
        <f>IF(C38&lt;0,0,
IF(MOD(C38,MAX(入力!$AI$29,1))=入力!$AI$29-1,入力!$AH$29,0)
+IF(MOD(C38,MAX(入力!$AI$30,1))=入力!$AI$30-1,入力!$AH$30,0)
+IF(MOD(C38,MAX(入力!$AI$31,1))=入力!$AI$31-1,入力!$AH$31,0)
+IF(MOD(C38,MAX(入力!$AI$32,1))=入力!$AI$32-1,入力!$AH$32,0)
+IF(MOD(C38,MAX(入力!$AI$33,1))=入力!$AI$33-1,入力!$AH$33,0)
+IF(MOD(C38,MAX(入力!$AI$34,1))=入力!$AI$34-1,入力!$AH$34,0)
+IF(MOD(C38,MAX(入力!$AI$35,1))=入力!$AI$35-1,入力!$AH$35,0)
+IF(MOD(C38,MAX(入力!$AI$36,1))=入力!$AI$36-1,入力!$AH$36,0)
+IF(MOD(C38,MAX(入力!$AI$37,1))=入力!$AI$37-1,入力!$AH$37,0)
+IF(MOD(C38,MAX(入力!$AI$38,1))=入力!$AI$38-1,入力!$AH$38,0)
)</f>
        <v>0</v>
      </c>
      <c r="AG38" s="3"/>
      <c r="AH38" s="3"/>
      <c r="AI38" s="3"/>
      <c r="AJ38" s="14"/>
      <c r="AK38" s="18">
        <f t="shared" si="9"/>
        <v>0</v>
      </c>
      <c r="AL38" s="24">
        <f t="shared" si="5"/>
        <v>-158.00472355342123</v>
      </c>
      <c r="AM38" s="24">
        <f t="shared" si="6"/>
        <v>-4738.6824381830702</v>
      </c>
    </row>
    <row r="39" spans="2:39" x14ac:dyDescent="0.25">
      <c r="B39" s="5">
        <f t="shared" ref="B39:C54" si="11">B38+1</f>
        <v>57</v>
      </c>
      <c r="C39" s="3">
        <f t="shared" si="11"/>
        <v>23</v>
      </c>
      <c r="D39" s="34"/>
      <c r="E39" s="3"/>
      <c r="F39" s="3"/>
      <c r="G39" s="3"/>
      <c r="H39" s="3"/>
      <c r="I39" s="14"/>
      <c r="J39" s="24">
        <f t="shared" si="0"/>
        <v>0</v>
      </c>
      <c r="K39" s="5">
        <f>IF($C39=0,入力!$W$27,0)+IF(AND($C39&gt;=0,$C39&lt;=入力!$W$29-1),入力!$W$35,0)+IF($C39&lt;0,VLOOKUP(親1!$C39,入力!$W$11:$Z$16,4,1),0)</f>
        <v>118.55999355342125</v>
      </c>
      <c r="L39" s="3">
        <f>住居計算!D46</f>
        <v>39.182089999999995</v>
      </c>
      <c r="M39" s="3"/>
      <c r="N39" s="3"/>
      <c r="O39" s="3"/>
      <c r="P39" s="3"/>
      <c r="Q39" s="3"/>
      <c r="R39" s="3"/>
      <c r="S39" s="14"/>
      <c r="T39" s="18">
        <f t="shared" si="1"/>
        <v>157.74208355342125</v>
      </c>
      <c r="U39" s="24">
        <f t="shared" si="2"/>
        <v>-157.74208355342125</v>
      </c>
      <c r="V39" s="5"/>
      <c r="W39" s="3"/>
      <c r="X39" s="3"/>
      <c r="Y39" s="3"/>
      <c r="Z39" s="3"/>
      <c r="AA39" s="3"/>
      <c r="AB39" s="14"/>
      <c r="AC39" s="18">
        <f t="shared" si="3"/>
        <v>0</v>
      </c>
      <c r="AD39" s="24">
        <f t="shared" si="4"/>
        <v>-157.74208355342125</v>
      </c>
      <c r="AE39" s="5">
        <f t="shared" si="8"/>
        <v>0</v>
      </c>
      <c r="AF39" s="3">
        <f>IF(C39&lt;0,0,
IF(MOD(C39,MAX(入力!$AI$29,1))=入力!$AI$29-1,入力!$AH$29,0)
+IF(MOD(C39,MAX(入力!$AI$30,1))=入力!$AI$30-1,入力!$AH$30,0)
+IF(MOD(C39,MAX(入力!$AI$31,1))=入力!$AI$31-1,入力!$AH$31,0)
+IF(MOD(C39,MAX(入力!$AI$32,1))=入力!$AI$32-1,入力!$AH$32,0)
+IF(MOD(C39,MAX(入力!$AI$33,1))=入力!$AI$33-1,入力!$AH$33,0)
+IF(MOD(C39,MAX(入力!$AI$34,1))=入力!$AI$34-1,入力!$AH$34,0)
+IF(MOD(C39,MAX(入力!$AI$35,1))=入力!$AI$35-1,入力!$AH$35,0)
+IF(MOD(C39,MAX(入力!$AI$36,1))=入力!$AI$36-1,入力!$AH$36,0)
+IF(MOD(C39,MAX(入力!$AI$37,1))=入力!$AI$37-1,入力!$AH$37,0)
+IF(MOD(C39,MAX(入力!$AI$38,1))=入力!$AI$38-1,入力!$AH$38,0)
)</f>
        <v>0</v>
      </c>
      <c r="AG39" s="3"/>
      <c r="AH39" s="3"/>
      <c r="AI39" s="3"/>
      <c r="AJ39" s="14"/>
      <c r="AK39" s="18">
        <f t="shared" si="9"/>
        <v>0</v>
      </c>
      <c r="AL39" s="24">
        <f t="shared" si="5"/>
        <v>-157.74208355342125</v>
      </c>
      <c r="AM39" s="24">
        <f t="shared" si="6"/>
        <v>-4896.4245217364914</v>
      </c>
    </row>
    <row r="40" spans="2:39" x14ac:dyDescent="0.25">
      <c r="B40" s="5">
        <f t="shared" si="11"/>
        <v>58</v>
      </c>
      <c r="C40" s="3">
        <f t="shared" si="11"/>
        <v>24</v>
      </c>
      <c r="D40" s="34"/>
      <c r="E40" s="3"/>
      <c r="F40" s="3"/>
      <c r="G40" s="3"/>
      <c r="H40" s="3"/>
      <c r="I40" s="14"/>
      <c r="J40" s="24">
        <f t="shared" si="0"/>
        <v>0</v>
      </c>
      <c r="K40" s="5">
        <f>IF($C40=0,入力!$W$27,0)+IF(AND($C40&gt;=0,$C40&lt;=入力!$W$29-1),入力!$W$35,0)+IF($C40&lt;0,VLOOKUP(親1!$C40,入力!$W$11:$Z$16,4,1),0)</f>
        <v>118.55999355342125</v>
      </c>
      <c r="L40" s="3">
        <f>住居計算!D47</f>
        <v>38.919449999999998</v>
      </c>
      <c r="M40" s="3"/>
      <c r="N40" s="3"/>
      <c r="O40" s="3"/>
      <c r="P40" s="3"/>
      <c r="Q40" s="3"/>
      <c r="R40" s="3"/>
      <c r="S40" s="14"/>
      <c r="T40" s="18">
        <f t="shared" si="1"/>
        <v>157.47944355342125</v>
      </c>
      <c r="U40" s="24">
        <f t="shared" si="2"/>
        <v>-157.47944355342125</v>
      </c>
      <c r="V40" s="5"/>
      <c r="W40" s="3"/>
      <c r="X40" s="3"/>
      <c r="Y40" s="3"/>
      <c r="Z40" s="3"/>
      <c r="AA40" s="3"/>
      <c r="AB40" s="14"/>
      <c r="AC40" s="18">
        <f t="shared" si="3"/>
        <v>0</v>
      </c>
      <c r="AD40" s="24">
        <f t="shared" si="4"/>
        <v>-157.47944355342125</v>
      </c>
      <c r="AE40" s="5">
        <f t="shared" si="8"/>
        <v>0</v>
      </c>
      <c r="AF40" s="3">
        <f>IF(C40&lt;0,0,
IF(MOD(C40,MAX(入力!$AI$29,1))=入力!$AI$29-1,入力!$AH$29,0)
+IF(MOD(C40,MAX(入力!$AI$30,1))=入力!$AI$30-1,入力!$AH$30,0)
+IF(MOD(C40,MAX(入力!$AI$31,1))=入力!$AI$31-1,入力!$AH$31,0)
+IF(MOD(C40,MAX(入力!$AI$32,1))=入力!$AI$32-1,入力!$AH$32,0)
+IF(MOD(C40,MAX(入力!$AI$33,1))=入力!$AI$33-1,入力!$AH$33,0)
+IF(MOD(C40,MAX(入力!$AI$34,1))=入力!$AI$34-1,入力!$AH$34,0)
+IF(MOD(C40,MAX(入力!$AI$35,1))=入力!$AI$35-1,入力!$AH$35,0)
+IF(MOD(C40,MAX(入力!$AI$36,1))=入力!$AI$36-1,入力!$AH$36,0)
+IF(MOD(C40,MAX(入力!$AI$37,1))=入力!$AI$37-1,入力!$AH$37,0)
+IF(MOD(C40,MAX(入力!$AI$38,1))=入力!$AI$38-1,入力!$AH$38,0)
)</f>
        <v>0</v>
      </c>
      <c r="AG40" s="3"/>
      <c r="AH40" s="3"/>
      <c r="AI40" s="3"/>
      <c r="AJ40" s="14"/>
      <c r="AK40" s="18">
        <f t="shared" si="9"/>
        <v>0</v>
      </c>
      <c r="AL40" s="24">
        <f t="shared" si="5"/>
        <v>-157.47944355342125</v>
      </c>
      <c r="AM40" s="24">
        <f t="shared" si="6"/>
        <v>-5053.9039652899128</v>
      </c>
    </row>
    <row r="41" spans="2:39" x14ac:dyDescent="0.25">
      <c r="B41" s="5">
        <f t="shared" si="11"/>
        <v>59</v>
      </c>
      <c r="C41" s="3">
        <f t="shared" si="11"/>
        <v>25</v>
      </c>
      <c r="D41" s="34"/>
      <c r="E41" s="3"/>
      <c r="F41" s="3"/>
      <c r="G41" s="3"/>
      <c r="H41" s="3"/>
      <c r="I41" s="14"/>
      <c r="J41" s="24">
        <f t="shared" si="0"/>
        <v>0</v>
      </c>
      <c r="K41" s="5">
        <f>IF($C41=0,入力!$W$27,0)+IF(AND($C41&gt;=0,$C41&lt;=入力!$W$29-1),入力!$W$35,0)+IF($C41&lt;0,VLOOKUP(親1!$C41,入力!$W$11:$Z$16,4,1),0)</f>
        <v>118.55999355342125</v>
      </c>
      <c r="L41" s="3">
        <f>住居計算!D48</f>
        <v>38.656809999999993</v>
      </c>
      <c r="M41" s="3"/>
      <c r="N41" s="3"/>
      <c r="O41" s="3"/>
      <c r="P41" s="3"/>
      <c r="Q41" s="3"/>
      <c r="R41" s="3"/>
      <c r="S41" s="14"/>
      <c r="T41" s="18">
        <f t="shared" si="1"/>
        <v>157.21680355342124</v>
      </c>
      <c r="U41" s="24">
        <f t="shared" si="2"/>
        <v>-157.21680355342124</v>
      </c>
      <c r="V41" s="5"/>
      <c r="W41" s="3"/>
      <c r="X41" s="3"/>
      <c r="Y41" s="3"/>
      <c r="Z41" s="3"/>
      <c r="AA41" s="3"/>
      <c r="AB41" s="14"/>
      <c r="AC41" s="18">
        <f t="shared" si="3"/>
        <v>0</v>
      </c>
      <c r="AD41" s="24">
        <f t="shared" si="4"/>
        <v>-157.21680355342124</v>
      </c>
      <c r="AE41" s="5">
        <f t="shared" si="8"/>
        <v>0</v>
      </c>
      <c r="AF41" s="3">
        <f>IF(C41&lt;0,0,
IF(MOD(C41,MAX(入力!$AI$29,1))=入力!$AI$29-1,入力!$AH$29,0)
+IF(MOD(C41,MAX(入力!$AI$30,1))=入力!$AI$30-1,入力!$AH$30,0)
+IF(MOD(C41,MAX(入力!$AI$31,1))=入力!$AI$31-1,入力!$AH$31,0)
+IF(MOD(C41,MAX(入力!$AI$32,1))=入力!$AI$32-1,入力!$AH$32,0)
+IF(MOD(C41,MAX(入力!$AI$33,1))=入力!$AI$33-1,入力!$AH$33,0)
+IF(MOD(C41,MAX(入力!$AI$34,1))=入力!$AI$34-1,入力!$AH$34,0)
+IF(MOD(C41,MAX(入力!$AI$35,1))=入力!$AI$35-1,入力!$AH$35,0)
+IF(MOD(C41,MAX(入力!$AI$36,1))=入力!$AI$36-1,入力!$AH$36,0)
+IF(MOD(C41,MAX(入力!$AI$37,1))=入力!$AI$37-1,入力!$AH$37,0)
+IF(MOD(C41,MAX(入力!$AI$38,1))=入力!$AI$38-1,入力!$AH$38,0)
)</f>
        <v>0</v>
      </c>
      <c r="AG41" s="3"/>
      <c r="AH41" s="3"/>
      <c r="AI41" s="3"/>
      <c r="AJ41" s="14"/>
      <c r="AK41" s="18">
        <f t="shared" si="9"/>
        <v>0</v>
      </c>
      <c r="AL41" s="24">
        <f t="shared" si="5"/>
        <v>-157.21680355342124</v>
      </c>
      <c r="AM41" s="24">
        <f t="shared" si="6"/>
        <v>-5211.1207688433342</v>
      </c>
    </row>
    <row r="42" spans="2:39" x14ac:dyDescent="0.25">
      <c r="B42" s="5">
        <f t="shared" si="11"/>
        <v>60</v>
      </c>
      <c r="C42" s="3">
        <f t="shared" si="11"/>
        <v>26</v>
      </c>
      <c r="D42" s="34"/>
      <c r="E42" s="3"/>
      <c r="F42" s="3"/>
      <c r="G42" s="3"/>
      <c r="H42" s="3"/>
      <c r="I42" s="14"/>
      <c r="J42" s="24">
        <f t="shared" si="0"/>
        <v>0</v>
      </c>
      <c r="K42" s="5">
        <f>IF($C42=0,入力!$W$27,0)+IF(AND($C42&gt;=0,$C42&lt;=入力!$W$29-1),入力!$W$35,0)+IF($C42&lt;0,VLOOKUP(親1!$C42,入力!$W$11:$Z$16,4,1),0)</f>
        <v>118.55999355342125</v>
      </c>
      <c r="L42" s="3">
        <f>住居計算!D49</f>
        <v>38.394169999999995</v>
      </c>
      <c r="M42" s="3"/>
      <c r="N42" s="3"/>
      <c r="O42" s="3"/>
      <c r="P42" s="3"/>
      <c r="Q42" s="3"/>
      <c r="R42" s="3"/>
      <c r="S42" s="14"/>
      <c r="T42" s="18">
        <f t="shared" si="1"/>
        <v>156.95416355342124</v>
      </c>
      <c r="U42" s="24">
        <f t="shared" si="2"/>
        <v>-156.95416355342124</v>
      </c>
      <c r="V42" s="5"/>
      <c r="W42" s="3"/>
      <c r="X42" s="3"/>
      <c r="Y42" s="3"/>
      <c r="Z42" s="3"/>
      <c r="AA42" s="3"/>
      <c r="AB42" s="14"/>
      <c r="AC42" s="18">
        <f t="shared" si="3"/>
        <v>0</v>
      </c>
      <c r="AD42" s="24">
        <f t="shared" si="4"/>
        <v>-156.95416355342124</v>
      </c>
      <c r="AE42" s="5">
        <f t="shared" si="8"/>
        <v>0</v>
      </c>
      <c r="AF42" s="3">
        <f>IF(C42&lt;0,0,
IF(MOD(C42,MAX(入力!$AI$29,1))=入力!$AI$29-1,入力!$AH$29,0)
+IF(MOD(C42,MAX(入力!$AI$30,1))=入力!$AI$30-1,入力!$AH$30,0)
+IF(MOD(C42,MAX(入力!$AI$31,1))=入力!$AI$31-1,入力!$AH$31,0)
+IF(MOD(C42,MAX(入力!$AI$32,1))=入力!$AI$32-1,入力!$AH$32,0)
+IF(MOD(C42,MAX(入力!$AI$33,1))=入力!$AI$33-1,入力!$AH$33,0)
+IF(MOD(C42,MAX(入力!$AI$34,1))=入力!$AI$34-1,入力!$AH$34,0)
+IF(MOD(C42,MAX(入力!$AI$35,1))=入力!$AI$35-1,入力!$AH$35,0)
+IF(MOD(C42,MAX(入力!$AI$36,1))=入力!$AI$36-1,入力!$AH$36,0)
+IF(MOD(C42,MAX(入力!$AI$37,1))=入力!$AI$37-1,入力!$AH$37,0)
+IF(MOD(C42,MAX(入力!$AI$38,1))=入力!$AI$38-1,入力!$AH$38,0)
)</f>
        <v>0</v>
      </c>
      <c r="AG42" s="3"/>
      <c r="AH42" s="3"/>
      <c r="AI42" s="3"/>
      <c r="AJ42" s="14"/>
      <c r="AK42" s="18">
        <f t="shared" si="9"/>
        <v>0</v>
      </c>
      <c r="AL42" s="24">
        <f t="shared" si="5"/>
        <v>-156.95416355342124</v>
      </c>
      <c r="AM42" s="24">
        <f t="shared" si="6"/>
        <v>-5368.0749323967557</v>
      </c>
    </row>
    <row r="43" spans="2:39" x14ac:dyDescent="0.25">
      <c r="B43" s="5">
        <f t="shared" si="11"/>
        <v>61</v>
      </c>
      <c r="C43" s="3">
        <f t="shared" si="11"/>
        <v>27</v>
      </c>
      <c r="D43" s="34"/>
      <c r="E43" s="3"/>
      <c r="F43" s="3"/>
      <c r="G43" s="3"/>
      <c r="H43" s="3"/>
      <c r="I43" s="14"/>
      <c r="J43" s="24">
        <f t="shared" si="0"/>
        <v>0</v>
      </c>
      <c r="K43" s="5">
        <f>IF($C43=0,入力!$W$27,0)+IF(AND($C43&gt;=0,$C43&lt;=入力!$W$29-1),入力!$W$35,0)+IF($C43&lt;0,VLOOKUP(親1!$C43,入力!$W$11:$Z$16,4,1),0)</f>
        <v>118.55999355342125</v>
      </c>
      <c r="L43" s="3">
        <f>住居計算!D50</f>
        <v>38.131529999999998</v>
      </c>
      <c r="M43" s="3"/>
      <c r="N43" s="3"/>
      <c r="O43" s="3"/>
      <c r="P43" s="3"/>
      <c r="Q43" s="3"/>
      <c r="R43" s="3"/>
      <c r="S43" s="14"/>
      <c r="T43" s="18">
        <f t="shared" si="1"/>
        <v>156.69152355342123</v>
      </c>
      <c r="U43" s="24">
        <f t="shared" si="2"/>
        <v>-156.69152355342123</v>
      </c>
      <c r="V43" s="5"/>
      <c r="W43" s="3"/>
      <c r="X43" s="3"/>
      <c r="Y43" s="3"/>
      <c r="Z43" s="3"/>
      <c r="AA43" s="3"/>
      <c r="AB43" s="14"/>
      <c r="AC43" s="18">
        <f t="shared" si="3"/>
        <v>0</v>
      </c>
      <c r="AD43" s="24">
        <f t="shared" si="4"/>
        <v>-156.69152355342123</v>
      </c>
      <c r="AE43" s="5">
        <f t="shared" si="8"/>
        <v>0</v>
      </c>
      <c r="AF43" s="3">
        <f>IF(C43&lt;0,0,
IF(MOD(C43,MAX(入力!$AI$29,1))=入力!$AI$29-1,入力!$AH$29,0)
+IF(MOD(C43,MAX(入力!$AI$30,1))=入力!$AI$30-1,入力!$AH$30,0)
+IF(MOD(C43,MAX(入力!$AI$31,1))=入力!$AI$31-1,入力!$AH$31,0)
+IF(MOD(C43,MAX(入力!$AI$32,1))=入力!$AI$32-1,入力!$AH$32,0)
+IF(MOD(C43,MAX(入力!$AI$33,1))=入力!$AI$33-1,入力!$AH$33,0)
+IF(MOD(C43,MAX(入力!$AI$34,1))=入力!$AI$34-1,入力!$AH$34,0)
+IF(MOD(C43,MAX(入力!$AI$35,1))=入力!$AI$35-1,入力!$AH$35,0)
+IF(MOD(C43,MAX(入力!$AI$36,1))=入力!$AI$36-1,入力!$AH$36,0)
+IF(MOD(C43,MAX(入力!$AI$37,1))=入力!$AI$37-1,入力!$AH$37,0)
+IF(MOD(C43,MAX(入力!$AI$38,1))=入力!$AI$38-1,入力!$AH$38,0)
)</f>
        <v>0</v>
      </c>
      <c r="AG43" s="3"/>
      <c r="AH43" s="3"/>
      <c r="AI43" s="3"/>
      <c r="AJ43" s="14"/>
      <c r="AK43" s="18">
        <f t="shared" si="9"/>
        <v>0</v>
      </c>
      <c r="AL43" s="24">
        <f t="shared" si="5"/>
        <v>-156.69152355342123</v>
      </c>
      <c r="AM43" s="24">
        <f t="shared" si="6"/>
        <v>-5524.7664559501773</v>
      </c>
    </row>
    <row r="44" spans="2:39" x14ac:dyDescent="0.25">
      <c r="B44" s="5">
        <f t="shared" si="11"/>
        <v>62</v>
      </c>
      <c r="C44" s="3">
        <f t="shared" si="11"/>
        <v>28</v>
      </c>
      <c r="D44" s="34"/>
      <c r="E44" s="3"/>
      <c r="F44" s="3"/>
      <c r="G44" s="3"/>
      <c r="H44" s="3"/>
      <c r="I44" s="14"/>
      <c r="J44" s="24">
        <f t="shared" si="0"/>
        <v>0</v>
      </c>
      <c r="K44" s="5">
        <f>IF($C44=0,入力!$W$27,0)+IF(AND($C44&gt;=0,$C44&lt;=入力!$W$29-1),入力!$W$35,0)+IF($C44&lt;0,VLOOKUP(親1!$C44,入力!$W$11:$Z$16,4,1),0)</f>
        <v>118.55999355342125</v>
      </c>
      <c r="L44" s="3">
        <f>住居計算!D51</f>
        <v>37.868889999999993</v>
      </c>
      <c r="M44" s="3"/>
      <c r="N44" s="3"/>
      <c r="O44" s="3"/>
      <c r="P44" s="3"/>
      <c r="Q44" s="3"/>
      <c r="R44" s="3"/>
      <c r="S44" s="14"/>
      <c r="T44" s="18">
        <f t="shared" si="1"/>
        <v>156.42888355342126</v>
      </c>
      <c r="U44" s="24">
        <f t="shared" si="2"/>
        <v>-156.42888355342126</v>
      </c>
      <c r="V44" s="5"/>
      <c r="W44" s="3"/>
      <c r="X44" s="3"/>
      <c r="Y44" s="3"/>
      <c r="Z44" s="3"/>
      <c r="AA44" s="3"/>
      <c r="AB44" s="14"/>
      <c r="AC44" s="18">
        <f t="shared" si="3"/>
        <v>0</v>
      </c>
      <c r="AD44" s="24">
        <f t="shared" si="4"/>
        <v>-156.42888355342126</v>
      </c>
      <c r="AE44" s="5">
        <f t="shared" si="8"/>
        <v>0</v>
      </c>
      <c r="AF44" s="3">
        <f>IF(C44&lt;0,0,
IF(MOD(C44,MAX(入力!$AI$29,1))=入力!$AI$29-1,入力!$AH$29,0)
+IF(MOD(C44,MAX(入力!$AI$30,1))=入力!$AI$30-1,入力!$AH$30,0)
+IF(MOD(C44,MAX(入力!$AI$31,1))=入力!$AI$31-1,入力!$AH$31,0)
+IF(MOD(C44,MAX(入力!$AI$32,1))=入力!$AI$32-1,入力!$AH$32,0)
+IF(MOD(C44,MAX(入力!$AI$33,1))=入力!$AI$33-1,入力!$AH$33,0)
+IF(MOD(C44,MAX(入力!$AI$34,1))=入力!$AI$34-1,入力!$AH$34,0)
+IF(MOD(C44,MAX(入力!$AI$35,1))=入力!$AI$35-1,入力!$AH$35,0)
+IF(MOD(C44,MAX(入力!$AI$36,1))=入力!$AI$36-1,入力!$AH$36,0)
+IF(MOD(C44,MAX(入力!$AI$37,1))=入力!$AI$37-1,入力!$AH$37,0)
+IF(MOD(C44,MAX(入力!$AI$38,1))=入力!$AI$38-1,入力!$AH$38,0)
)</f>
        <v>0</v>
      </c>
      <c r="AG44" s="3"/>
      <c r="AH44" s="3"/>
      <c r="AI44" s="3"/>
      <c r="AJ44" s="14"/>
      <c r="AK44" s="18">
        <f t="shared" si="9"/>
        <v>0</v>
      </c>
      <c r="AL44" s="24">
        <f t="shared" si="5"/>
        <v>-156.42888355342126</v>
      </c>
      <c r="AM44" s="24">
        <f t="shared" si="6"/>
        <v>-5681.1953395035989</v>
      </c>
    </row>
    <row r="45" spans="2:39" x14ac:dyDescent="0.25">
      <c r="B45" s="5">
        <f t="shared" si="11"/>
        <v>63</v>
      </c>
      <c r="C45" s="3">
        <f t="shared" si="11"/>
        <v>29</v>
      </c>
      <c r="D45" s="34"/>
      <c r="E45" s="3"/>
      <c r="F45" s="3"/>
      <c r="G45" s="3"/>
      <c r="H45" s="3"/>
      <c r="I45" s="14"/>
      <c r="J45" s="24">
        <f t="shared" si="0"/>
        <v>0</v>
      </c>
      <c r="K45" s="5">
        <f>IF($C45=0,入力!$W$27,0)+IF(AND($C45&gt;=0,$C45&lt;=入力!$W$29-1),入力!$W$35,0)+IF($C45&lt;0,VLOOKUP(親1!$C45,入力!$W$11:$Z$16,4,1),0)</f>
        <v>118.55999355342125</v>
      </c>
      <c r="L45" s="3">
        <f>住居計算!D52</f>
        <v>37.737569999999998</v>
      </c>
      <c r="M45" s="3"/>
      <c r="N45" s="3"/>
      <c r="O45" s="3"/>
      <c r="P45" s="3"/>
      <c r="Q45" s="3"/>
      <c r="R45" s="3"/>
      <c r="S45" s="14"/>
      <c r="T45" s="18">
        <f t="shared" si="1"/>
        <v>156.29756355342124</v>
      </c>
      <c r="U45" s="24">
        <f t="shared" si="2"/>
        <v>-156.29756355342124</v>
      </c>
      <c r="V45" s="5"/>
      <c r="W45" s="3"/>
      <c r="X45" s="3"/>
      <c r="Y45" s="3"/>
      <c r="Z45" s="3"/>
      <c r="AA45" s="3"/>
      <c r="AB45" s="14"/>
      <c r="AC45" s="18">
        <f t="shared" si="3"/>
        <v>0</v>
      </c>
      <c r="AD45" s="24">
        <f t="shared" si="4"/>
        <v>-156.29756355342124</v>
      </c>
      <c r="AE45" s="5">
        <f t="shared" si="8"/>
        <v>0</v>
      </c>
      <c r="AF45" s="3">
        <f>IF(C45&lt;0,0,
IF(MOD(C45,MAX(入力!$AI$29,1))=入力!$AI$29-1,入力!$AH$29,0)
+IF(MOD(C45,MAX(入力!$AI$30,1))=入力!$AI$30-1,入力!$AH$30,0)
+IF(MOD(C45,MAX(入力!$AI$31,1))=入力!$AI$31-1,入力!$AH$31,0)
+IF(MOD(C45,MAX(入力!$AI$32,1))=入力!$AI$32-1,入力!$AH$32,0)
+IF(MOD(C45,MAX(入力!$AI$33,1))=入力!$AI$33-1,入力!$AH$33,0)
+IF(MOD(C45,MAX(入力!$AI$34,1))=入力!$AI$34-1,入力!$AH$34,0)
+IF(MOD(C45,MAX(入力!$AI$35,1))=入力!$AI$35-1,入力!$AH$35,0)
+IF(MOD(C45,MAX(入力!$AI$36,1))=入力!$AI$36-1,入力!$AH$36,0)
+IF(MOD(C45,MAX(入力!$AI$37,1))=入力!$AI$37-1,入力!$AH$37,0)
+IF(MOD(C45,MAX(入力!$AI$38,1))=入力!$AI$38-1,入力!$AH$38,0)
)</f>
        <v>238</v>
      </c>
      <c r="AG45" s="3"/>
      <c r="AH45" s="3"/>
      <c r="AI45" s="3"/>
      <c r="AJ45" s="14"/>
      <c r="AK45" s="18">
        <f t="shared" si="9"/>
        <v>238</v>
      </c>
      <c r="AL45" s="24">
        <f t="shared" si="5"/>
        <v>-394.29756355342124</v>
      </c>
      <c r="AM45" s="24">
        <f t="shared" si="6"/>
        <v>-6075.4929030570202</v>
      </c>
    </row>
    <row r="46" spans="2:39" x14ac:dyDescent="0.25">
      <c r="B46" s="5">
        <f t="shared" si="11"/>
        <v>64</v>
      </c>
      <c r="C46" s="3">
        <f t="shared" si="11"/>
        <v>30</v>
      </c>
      <c r="D46" s="34"/>
      <c r="E46" s="3"/>
      <c r="F46" s="3"/>
      <c r="G46" s="3"/>
      <c r="H46" s="3"/>
      <c r="I46" s="14"/>
      <c r="J46" s="24">
        <f t="shared" si="0"/>
        <v>0</v>
      </c>
      <c r="K46" s="5">
        <f>IF($C46=0,入力!$W$27,0)+IF(AND($C46&gt;=0,$C46&lt;=入力!$W$29-1),入力!$W$35,0)+IF($C46&lt;0,VLOOKUP(親1!$C46,入力!$W$11:$Z$16,4,1),0)</f>
        <v>118.55999355342125</v>
      </c>
      <c r="L46" s="3">
        <f>住居計算!D53</f>
        <v>37.474929999999993</v>
      </c>
      <c r="M46" s="3"/>
      <c r="N46" s="3"/>
      <c r="O46" s="3"/>
      <c r="P46" s="3"/>
      <c r="Q46" s="3"/>
      <c r="R46" s="3"/>
      <c r="S46" s="14"/>
      <c r="T46" s="18">
        <f t="shared" si="1"/>
        <v>156.03492355342124</v>
      </c>
      <c r="U46" s="24">
        <f t="shared" si="2"/>
        <v>-156.03492355342124</v>
      </c>
      <c r="V46" s="5"/>
      <c r="W46" s="3"/>
      <c r="X46" s="3"/>
      <c r="Y46" s="3"/>
      <c r="Z46" s="3"/>
      <c r="AA46" s="3"/>
      <c r="AB46" s="14"/>
      <c r="AC46" s="18">
        <f t="shared" si="3"/>
        <v>0</v>
      </c>
      <c r="AD46" s="24">
        <f t="shared" si="4"/>
        <v>-156.03492355342124</v>
      </c>
      <c r="AE46" s="5">
        <f t="shared" si="8"/>
        <v>0</v>
      </c>
      <c r="AF46" s="3">
        <f>IF(C46&lt;0,0,
IF(MOD(C46,MAX(入力!$AI$29,1))=入力!$AI$29-1,入力!$AH$29,0)
+IF(MOD(C46,MAX(入力!$AI$30,1))=入力!$AI$30-1,入力!$AH$30,0)
+IF(MOD(C46,MAX(入力!$AI$31,1))=入力!$AI$31-1,入力!$AH$31,0)
+IF(MOD(C46,MAX(入力!$AI$32,1))=入力!$AI$32-1,入力!$AH$32,0)
+IF(MOD(C46,MAX(入力!$AI$33,1))=入力!$AI$33-1,入力!$AH$33,0)
+IF(MOD(C46,MAX(入力!$AI$34,1))=入力!$AI$34-1,入力!$AH$34,0)
+IF(MOD(C46,MAX(入力!$AI$35,1))=入力!$AI$35-1,入力!$AH$35,0)
+IF(MOD(C46,MAX(入力!$AI$36,1))=入力!$AI$36-1,入力!$AH$36,0)
+IF(MOD(C46,MAX(入力!$AI$37,1))=入力!$AI$37-1,入力!$AH$37,0)
+IF(MOD(C46,MAX(入力!$AI$38,1))=入力!$AI$38-1,入力!$AH$38,0)
)</f>
        <v>0</v>
      </c>
      <c r="AG46" s="3"/>
      <c r="AH46" s="3"/>
      <c r="AI46" s="3"/>
      <c r="AJ46" s="14"/>
      <c r="AK46" s="18">
        <f t="shared" si="9"/>
        <v>0</v>
      </c>
      <c r="AL46" s="24">
        <f t="shared" si="5"/>
        <v>-156.03492355342124</v>
      </c>
      <c r="AM46" s="24">
        <f t="shared" si="6"/>
        <v>-6231.5278266104415</v>
      </c>
    </row>
    <row r="47" spans="2:39" x14ac:dyDescent="0.25">
      <c r="B47" s="5">
        <f t="shared" si="11"/>
        <v>65</v>
      </c>
      <c r="C47" s="3">
        <f t="shared" si="11"/>
        <v>31</v>
      </c>
      <c r="D47" s="34"/>
      <c r="E47" s="3"/>
      <c r="F47" s="3"/>
      <c r="G47" s="3"/>
      <c r="H47" s="3"/>
      <c r="I47" s="14"/>
      <c r="J47" s="24">
        <f t="shared" si="0"/>
        <v>0</v>
      </c>
      <c r="K47" s="5">
        <f>IF($C47=0,入力!$W$27,0)+IF(AND($C47&gt;=0,$C47&lt;=入力!$W$29-1),入力!$W$35,0)+IF($C47&lt;0,VLOOKUP(親1!$C47,入力!$W$11:$Z$16,4,1),0)</f>
        <v>118.55999355342125</v>
      </c>
      <c r="L47" s="3">
        <f>住居計算!D54</f>
        <v>37.343609999999998</v>
      </c>
      <c r="M47" s="3"/>
      <c r="N47" s="3"/>
      <c r="O47" s="3"/>
      <c r="P47" s="3"/>
      <c r="Q47" s="3"/>
      <c r="R47" s="3"/>
      <c r="S47" s="14"/>
      <c r="T47" s="18">
        <f t="shared" si="1"/>
        <v>155.90360355342125</v>
      </c>
      <c r="U47" s="24">
        <f t="shared" si="2"/>
        <v>-155.90360355342125</v>
      </c>
      <c r="V47" s="5"/>
      <c r="W47" s="3"/>
      <c r="X47" s="3"/>
      <c r="Y47" s="3"/>
      <c r="Z47" s="3"/>
      <c r="AA47" s="3"/>
      <c r="AB47" s="14"/>
      <c r="AC47" s="18">
        <f t="shared" si="3"/>
        <v>0</v>
      </c>
      <c r="AD47" s="24">
        <f t="shared" si="4"/>
        <v>-155.90360355342125</v>
      </c>
      <c r="AE47" s="5">
        <f t="shared" si="8"/>
        <v>0</v>
      </c>
      <c r="AF47" s="3">
        <f>IF(C47&lt;0,0,
IF(MOD(C47,MAX(入力!$AI$29,1))=入力!$AI$29-1,入力!$AH$29,0)
+IF(MOD(C47,MAX(入力!$AI$30,1))=入力!$AI$30-1,入力!$AH$30,0)
+IF(MOD(C47,MAX(入力!$AI$31,1))=入力!$AI$31-1,入力!$AH$31,0)
+IF(MOD(C47,MAX(入力!$AI$32,1))=入力!$AI$32-1,入力!$AH$32,0)
+IF(MOD(C47,MAX(入力!$AI$33,1))=入力!$AI$33-1,入力!$AH$33,0)
+IF(MOD(C47,MAX(入力!$AI$34,1))=入力!$AI$34-1,入力!$AH$34,0)
+IF(MOD(C47,MAX(入力!$AI$35,1))=入力!$AI$35-1,入力!$AH$35,0)
+IF(MOD(C47,MAX(入力!$AI$36,1))=入力!$AI$36-1,入力!$AH$36,0)
+IF(MOD(C47,MAX(入力!$AI$37,1))=入力!$AI$37-1,入力!$AH$37,0)
+IF(MOD(C47,MAX(入力!$AI$38,1))=入力!$AI$38-1,入力!$AH$38,0)
)</f>
        <v>0</v>
      </c>
      <c r="AG47" s="3"/>
      <c r="AH47" s="3"/>
      <c r="AI47" s="3"/>
      <c r="AJ47" s="14"/>
      <c r="AK47" s="18">
        <f t="shared" si="9"/>
        <v>0</v>
      </c>
      <c r="AL47" s="24">
        <f t="shared" si="5"/>
        <v>-155.90360355342125</v>
      </c>
      <c r="AM47" s="24">
        <f t="shared" si="6"/>
        <v>-6387.4314301638624</v>
      </c>
    </row>
    <row r="48" spans="2:39" x14ac:dyDescent="0.25">
      <c r="B48" s="5">
        <f t="shared" si="11"/>
        <v>66</v>
      </c>
      <c r="C48" s="3">
        <f t="shared" si="11"/>
        <v>32</v>
      </c>
      <c r="D48" s="34"/>
      <c r="E48" s="3"/>
      <c r="F48" s="3"/>
      <c r="G48" s="3"/>
      <c r="H48" s="3"/>
      <c r="I48" s="14"/>
      <c r="J48" s="24">
        <f t="shared" si="0"/>
        <v>0</v>
      </c>
      <c r="K48" s="5">
        <f>IF($C48=0,入力!$W$27,0)+IF(AND($C48&gt;=0,$C48&lt;=入力!$W$29-1),入力!$W$35,0)+IF($C48&lt;0,VLOOKUP(親1!$C48,入力!$W$11:$Z$16,4,1),0)</f>
        <v>118.55999355342125</v>
      </c>
      <c r="L48" s="3">
        <f>住居計算!D55</f>
        <v>37.080969999999994</v>
      </c>
      <c r="M48" s="3"/>
      <c r="N48" s="3"/>
      <c r="O48" s="3"/>
      <c r="P48" s="3"/>
      <c r="Q48" s="3"/>
      <c r="R48" s="3"/>
      <c r="S48" s="14"/>
      <c r="T48" s="18">
        <f t="shared" si="1"/>
        <v>155.64096355342124</v>
      </c>
      <c r="U48" s="24">
        <f t="shared" si="2"/>
        <v>-155.64096355342124</v>
      </c>
      <c r="V48" s="5"/>
      <c r="W48" s="3"/>
      <c r="X48" s="3"/>
      <c r="Y48" s="3"/>
      <c r="Z48" s="3"/>
      <c r="AA48" s="3"/>
      <c r="AB48" s="14"/>
      <c r="AC48" s="18">
        <f t="shared" si="3"/>
        <v>0</v>
      </c>
      <c r="AD48" s="24">
        <f t="shared" si="4"/>
        <v>-155.64096355342124</v>
      </c>
      <c r="AE48" s="5">
        <f t="shared" si="8"/>
        <v>0</v>
      </c>
      <c r="AF48" s="3">
        <f>IF(C48&lt;0,0,
IF(MOD(C48,MAX(入力!$AI$29,1))=入力!$AI$29-1,入力!$AH$29,0)
+IF(MOD(C48,MAX(入力!$AI$30,1))=入力!$AI$30-1,入力!$AH$30,0)
+IF(MOD(C48,MAX(入力!$AI$31,1))=入力!$AI$31-1,入力!$AH$31,0)
+IF(MOD(C48,MAX(入力!$AI$32,1))=入力!$AI$32-1,入力!$AH$32,0)
+IF(MOD(C48,MAX(入力!$AI$33,1))=入力!$AI$33-1,入力!$AH$33,0)
+IF(MOD(C48,MAX(入力!$AI$34,1))=入力!$AI$34-1,入力!$AH$34,0)
+IF(MOD(C48,MAX(入力!$AI$35,1))=入力!$AI$35-1,入力!$AH$35,0)
+IF(MOD(C48,MAX(入力!$AI$36,1))=入力!$AI$36-1,入力!$AH$36,0)
+IF(MOD(C48,MAX(入力!$AI$37,1))=入力!$AI$37-1,入力!$AH$37,0)
+IF(MOD(C48,MAX(入力!$AI$38,1))=入力!$AI$38-1,入力!$AH$38,0)
)</f>
        <v>0</v>
      </c>
      <c r="AG48" s="3"/>
      <c r="AH48" s="3"/>
      <c r="AI48" s="3"/>
      <c r="AJ48" s="14"/>
      <c r="AK48" s="18">
        <f t="shared" si="9"/>
        <v>0</v>
      </c>
      <c r="AL48" s="24">
        <f t="shared" si="5"/>
        <v>-155.64096355342124</v>
      </c>
      <c r="AM48" s="24">
        <f t="shared" si="6"/>
        <v>-6543.0723937172834</v>
      </c>
    </row>
    <row r="49" spans="2:39" x14ac:dyDescent="0.25">
      <c r="B49" s="5">
        <f t="shared" si="11"/>
        <v>67</v>
      </c>
      <c r="C49" s="3">
        <f t="shared" si="11"/>
        <v>33</v>
      </c>
      <c r="D49" s="34"/>
      <c r="E49" s="3"/>
      <c r="F49" s="3"/>
      <c r="G49" s="3"/>
      <c r="H49" s="3"/>
      <c r="I49" s="14"/>
      <c r="J49" s="24">
        <f t="shared" si="0"/>
        <v>0</v>
      </c>
      <c r="K49" s="5">
        <f>IF($C49=0,入力!$W$27,0)+IF(AND($C49&gt;=0,$C49&lt;=入力!$W$29-1),入力!$W$35,0)+IF($C49&lt;0,VLOOKUP(親1!$C49,入力!$W$11:$Z$16,4,1),0)</f>
        <v>118.55999355342125</v>
      </c>
      <c r="L49" s="3">
        <f>住居計算!D56</f>
        <v>36.949649999999998</v>
      </c>
      <c r="M49" s="3"/>
      <c r="N49" s="3"/>
      <c r="O49" s="3"/>
      <c r="P49" s="3"/>
      <c r="Q49" s="3"/>
      <c r="R49" s="3"/>
      <c r="S49" s="14"/>
      <c r="T49" s="18">
        <f t="shared" si="1"/>
        <v>155.50964355342126</v>
      </c>
      <c r="U49" s="24">
        <f t="shared" si="2"/>
        <v>-155.50964355342126</v>
      </c>
      <c r="V49" s="5"/>
      <c r="W49" s="3"/>
      <c r="X49" s="3"/>
      <c r="Y49" s="3"/>
      <c r="Z49" s="3"/>
      <c r="AA49" s="3"/>
      <c r="AB49" s="14"/>
      <c r="AC49" s="18">
        <f t="shared" si="3"/>
        <v>0</v>
      </c>
      <c r="AD49" s="24">
        <f t="shared" si="4"/>
        <v>-155.50964355342126</v>
      </c>
      <c r="AE49" s="5">
        <f t="shared" si="8"/>
        <v>0</v>
      </c>
      <c r="AF49" s="3">
        <f>IF(C49&lt;0,0,
IF(MOD(C49,MAX(入力!$AI$29,1))=入力!$AI$29-1,入力!$AH$29,0)
+IF(MOD(C49,MAX(入力!$AI$30,1))=入力!$AI$30-1,入力!$AH$30,0)
+IF(MOD(C49,MAX(入力!$AI$31,1))=入力!$AI$31-1,入力!$AH$31,0)
+IF(MOD(C49,MAX(入力!$AI$32,1))=入力!$AI$32-1,入力!$AH$32,0)
+IF(MOD(C49,MAX(入力!$AI$33,1))=入力!$AI$33-1,入力!$AH$33,0)
+IF(MOD(C49,MAX(入力!$AI$34,1))=入力!$AI$34-1,入力!$AH$34,0)
+IF(MOD(C49,MAX(入力!$AI$35,1))=入力!$AI$35-1,入力!$AH$35,0)
+IF(MOD(C49,MAX(入力!$AI$36,1))=入力!$AI$36-1,入力!$AH$36,0)
+IF(MOD(C49,MAX(入力!$AI$37,1))=入力!$AI$37-1,入力!$AH$37,0)
+IF(MOD(C49,MAX(入力!$AI$38,1))=入力!$AI$38-1,入力!$AH$38,0)
)</f>
        <v>0</v>
      </c>
      <c r="AG49" s="3"/>
      <c r="AH49" s="3"/>
      <c r="AI49" s="3"/>
      <c r="AJ49" s="14"/>
      <c r="AK49" s="18">
        <f t="shared" si="9"/>
        <v>0</v>
      </c>
      <c r="AL49" s="24">
        <f t="shared" si="5"/>
        <v>-155.50964355342126</v>
      </c>
      <c r="AM49" s="24">
        <f t="shared" si="6"/>
        <v>-6698.5820372707049</v>
      </c>
    </row>
    <row r="50" spans="2:39" x14ac:dyDescent="0.25">
      <c r="B50" s="5">
        <f t="shared" si="11"/>
        <v>68</v>
      </c>
      <c r="C50" s="3">
        <f t="shared" si="11"/>
        <v>34</v>
      </c>
      <c r="D50" s="34"/>
      <c r="E50" s="3"/>
      <c r="F50" s="3"/>
      <c r="G50" s="3"/>
      <c r="H50" s="3"/>
      <c r="I50" s="14"/>
      <c r="J50" s="24">
        <f t="shared" si="0"/>
        <v>0</v>
      </c>
      <c r="K50" s="5">
        <f>IF($C50=0,入力!$W$27,0)+IF(AND($C50&gt;=0,$C50&lt;=入力!$W$29-1),入力!$W$35,0)+IF($C50&lt;0,VLOOKUP(親1!$C50,入力!$W$11:$Z$16,4,1),0)</f>
        <v>118.55999355342125</v>
      </c>
      <c r="L50" s="3">
        <f>住居計算!D57</f>
        <v>36.687009999999994</v>
      </c>
      <c r="M50" s="3"/>
      <c r="N50" s="3"/>
      <c r="O50" s="3"/>
      <c r="P50" s="3"/>
      <c r="Q50" s="3"/>
      <c r="R50" s="3"/>
      <c r="S50" s="14"/>
      <c r="T50" s="18">
        <f t="shared" si="1"/>
        <v>155.24700355342125</v>
      </c>
      <c r="U50" s="24">
        <f t="shared" si="2"/>
        <v>-155.24700355342125</v>
      </c>
      <c r="V50" s="5"/>
      <c r="W50" s="3"/>
      <c r="X50" s="3"/>
      <c r="Y50" s="3"/>
      <c r="Z50" s="3"/>
      <c r="AA50" s="3"/>
      <c r="AB50" s="14"/>
      <c r="AC50" s="18">
        <f t="shared" si="3"/>
        <v>0</v>
      </c>
      <c r="AD50" s="24">
        <f t="shared" si="4"/>
        <v>-155.24700355342125</v>
      </c>
      <c r="AE50" s="5">
        <f t="shared" si="8"/>
        <v>0</v>
      </c>
      <c r="AF50" s="3">
        <f>IF(C50&lt;0,0,
IF(MOD(C50,MAX(入力!$AI$29,1))=入力!$AI$29-1,入力!$AH$29,0)
+IF(MOD(C50,MAX(入力!$AI$30,1))=入力!$AI$30-1,入力!$AH$30,0)
+IF(MOD(C50,MAX(入力!$AI$31,1))=入力!$AI$31-1,入力!$AH$31,0)
+IF(MOD(C50,MAX(入力!$AI$32,1))=入力!$AI$32-1,入力!$AH$32,0)
+IF(MOD(C50,MAX(入力!$AI$33,1))=入力!$AI$33-1,入力!$AH$33,0)
+IF(MOD(C50,MAX(入力!$AI$34,1))=入力!$AI$34-1,入力!$AH$34,0)
+IF(MOD(C50,MAX(入力!$AI$35,1))=入力!$AI$35-1,入力!$AH$35,0)
+IF(MOD(C50,MAX(入力!$AI$36,1))=入力!$AI$36-1,入力!$AH$36,0)
+IF(MOD(C50,MAX(入力!$AI$37,1))=入力!$AI$37-1,入力!$AH$37,0)
+IF(MOD(C50,MAX(入力!$AI$38,1))=入力!$AI$38-1,入力!$AH$38,0)
)</f>
        <v>0</v>
      </c>
      <c r="AG50" s="3"/>
      <c r="AH50" s="3"/>
      <c r="AI50" s="3"/>
      <c r="AJ50" s="14"/>
      <c r="AK50" s="18">
        <f t="shared" si="9"/>
        <v>0</v>
      </c>
      <c r="AL50" s="24">
        <f t="shared" si="5"/>
        <v>-155.24700355342125</v>
      </c>
      <c r="AM50" s="24">
        <f t="shared" si="6"/>
        <v>-6853.8290408241264</v>
      </c>
    </row>
    <row r="51" spans="2:39" x14ac:dyDescent="0.25">
      <c r="B51" s="5">
        <f t="shared" si="11"/>
        <v>69</v>
      </c>
      <c r="C51" s="3">
        <f t="shared" si="11"/>
        <v>35</v>
      </c>
      <c r="D51" s="34"/>
      <c r="E51" s="3"/>
      <c r="F51" s="3"/>
      <c r="G51" s="3"/>
      <c r="H51" s="3"/>
      <c r="I51" s="14"/>
      <c r="J51" s="24">
        <f t="shared" si="0"/>
        <v>0</v>
      </c>
      <c r="K51" s="5">
        <f>IF($C51=0,入力!$W$27,0)+IF(AND($C51&gt;=0,$C51&lt;=入力!$W$29-1),入力!$W$35,0)+IF($C51&lt;0,VLOOKUP(親1!$C51,入力!$W$11:$Z$16,4,1),0)</f>
        <v>0</v>
      </c>
      <c r="L51" s="3">
        <f>住居計算!D58</f>
        <v>36.687009999999994</v>
      </c>
      <c r="M51" s="3"/>
      <c r="N51" s="3"/>
      <c r="O51" s="3"/>
      <c r="P51" s="3"/>
      <c r="Q51" s="3"/>
      <c r="R51" s="3"/>
      <c r="S51" s="14"/>
      <c r="T51" s="18">
        <f t="shared" si="1"/>
        <v>36.687009999999994</v>
      </c>
      <c r="U51" s="24">
        <f t="shared" si="2"/>
        <v>-36.687009999999994</v>
      </c>
      <c r="V51" s="5"/>
      <c r="W51" s="3"/>
      <c r="X51" s="3"/>
      <c r="Y51" s="3"/>
      <c r="Z51" s="3"/>
      <c r="AA51" s="3"/>
      <c r="AB51" s="14"/>
      <c r="AC51" s="18">
        <f t="shared" si="3"/>
        <v>0</v>
      </c>
      <c r="AD51" s="24">
        <f t="shared" si="4"/>
        <v>-36.687009999999994</v>
      </c>
      <c r="AE51" s="5">
        <f t="shared" si="8"/>
        <v>0</v>
      </c>
      <c r="AF51" s="3">
        <f>IF(C51&lt;0,0,
IF(MOD(C51,MAX(入力!$AI$29,1))=入力!$AI$29-1,入力!$AH$29,0)
+IF(MOD(C51,MAX(入力!$AI$30,1))=入力!$AI$30-1,入力!$AH$30,0)
+IF(MOD(C51,MAX(入力!$AI$31,1))=入力!$AI$31-1,入力!$AH$31,0)
+IF(MOD(C51,MAX(入力!$AI$32,1))=入力!$AI$32-1,入力!$AH$32,0)
+IF(MOD(C51,MAX(入力!$AI$33,1))=入力!$AI$33-1,入力!$AH$33,0)
+IF(MOD(C51,MAX(入力!$AI$34,1))=入力!$AI$34-1,入力!$AH$34,0)
+IF(MOD(C51,MAX(入力!$AI$35,1))=入力!$AI$35-1,入力!$AH$35,0)
+IF(MOD(C51,MAX(入力!$AI$36,1))=入力!$AI$36-1,入力!$AH$36,0)
+IF(MOD(C51,MAX(入力!$AI$37,1))=入力!$AI$37-1,入力!$AH$37,0)
+IF(MOD(C51,MAX(入力!$AI$38,1))=入力!$AI$38-1,入力!$AH$38,0)
)</f>
        <v>0</v>
      </c>
      <c r="AG51" s="3"/>
      <c r="AH51" s="3"/>
      <c r="AI51" s="3"/>
      <c r="AJ51" s="14"/>
      <c r="AK51" s="18">
        <f t="shared" si="9"/>
        <v>0</v>
      </c>
      <c r="AL51" s="24">
        <f t="shared" si="5"/>
        <v>-36.687009999999994</v>
      </c>
      <c r="AM51" s="24">
        <f t="shared" si="6"/>
        <v>-6890.5160508241261</v>
      </c>
    </row>
    <row r="52" spans="2:39" x14ac:dyDescent="0.25">
      <c r="B52" s="5">
        <f t="shared" si="11"/>
        <v>70</v>
      </c>
      <c r="C52" s="3">
        <f t="shared" si="11"/>
        <v>36</v>
      </c>
      <c r="D52" s="34"/>
      <c r="E52" s="3"/>
      <c r="F52" s="3"/>
      <c r="G52" s="3"/>
      <c r="H52" s="3"/>
      <c r="I52" s="14"/>
      <c r="J52" s="24">
        <f t="shared" si="0"/>
        <v>0</v>
      </c>
      <c r="K52" s="5">
        <f>IF($C52=0,入力!$W$27,0)+IF(AND($C52&gt;=0,$C52&lt;=入力!$W$29-1),入力!$W$35,0)+IF($C52&lt;0,VLOOKUP(親1!$C52,入力!$W$11:$Z$16,4,1),0)</f>
        <v>0</v>
      </c>
      <c r="L52" s="3">
        <f>住居計算!D59</f>
        <v>36.555689999999998</v>
      </c>
      <c r="M52" s="3"/>
      <c r="N52" s="3"/>
      <c r="O52" s="3"/>
      <c r="P52" s="3"/>
      <c r="Q52" s="3"/>
      <c r="R52" s="3"/>
      <c r="S52" s="14"/>
      <c r="T52" s="18">
        <f t="shared" si="1"/>
        <v>36.555689999999998</v>
      </c>
      <c r="U52" s="24">
        <f t="shared" si="2"/>
        <v>-36.555689999999998</v>
      </c>
      <c r="V52" s="5"/>
      <c r="W52" s="3"/>
      <c r="X52" s="3"/>
      <c r="Y52" s="3"/>
      <c r="Z52" s="3"/>
      <c r="AA52" s="3"/>
      <c r="AB52" s="14"/>
      <c r="AC52" s="18">
        <f t="shared" si="3"/>
        <v>0</v>
      </c>
      <c r="AD52" s="24">
        <f t="shared" si="4"/>
        <v>-36.555689999999998</v>
      </c>
      <c r="AE52" s="5">
        <f t="shared" si="8"/>
        <v>0</v>
      </c>
      <c r="AF52" s="3">
        <f>IF(C52&lt;0,0,
IF(MOD(C52,MAX(入力!$AI$29,1))=入力!$AI$29-1,入力!$AH$29,0)
+IF(MOD(C52,MAX(入力!$AI$30,1))=入力!$AI$30-1,入力!$AH$30,0)
+IF(MOD(C52,MAX(入力!$AI$31,1))=入力!$AI$31-1,入力!$AH$31,0)
+IF(MOD(C52,MAX(入力!$AI$32,1))=入力!$AI$32-1,入力!$AH$32,0)
+IF(MOD(C52,MAX(入力!$AI$33,1))=入力!$AI$33-1,入力!$AH$33,0)
+IF(MOD(C52,MAX(入力!$AI$34,1))=入力!$AI$34-1,入力!$AH$34,0)
+IF(MOD(C52,MAX(入力!$AI$35,1))=入力!$AI$35-1,入力!$AH$35,0)
+IF(MOD(C52,MAX(入力!$AI$36,1))=入力!$AI$36-1,入力!$AH$36,0)
+IF(MOD(C52,MAX(入力!$AI$37,1))=入力!$AI$37-1,入力!$AH$37,0)
+IF(MOD(C52,MAX(入力!$AI$38,1))=入力!$AI$38-1,入力!$AH$38,0)
)</f>
        <v>0</v>
      </c>
      <c r="AG52" s="3"/>
      <c r="AH52" s="3"/>
      <c r="AI52" s="3"/>
      <c r="AJ52" s="14"/>
      <c r="AK52" s="18">
        <f t="shared" si="9"/>
        <v>0</v>
      </c>
      <c r="AL52" s="24">
        <f t="shared" si="5"/>
        <v>-36.555689999999998</v>
      </c>
      <c r="AM52" s="24">
        <f t="shared" si="6"/>
        <v>-6927.0717408241262</v>
      </c>
    </row>
    <row r="53" spans="2:39" x14ac:dyDescent="0.25">
      <c r="B53" s="5">
        <f t="shared" si="11"/>
        <v>71</v>
      </c>
      <c r="C53" s="3">
        <f t="shared" si="11"/>
        <v>37</v>
      </c>
      <c r="D53" s="34"/>
      <c r="E53" s="3"/>
      <c r="F53" s="3"/>
      <c r="G53" s="3"/>
      <c r="H53" s="3"/>
      <c r="I53" s="14"/>
      <c r="J53" s="24">
        <f t="shared" si="0"/>
        <v>0</v>
      </c>
      <c r="K53" s="5">
        <f>IF($C53=0,入力!$W$27,0)+IF(AND($C53&gt;=0,$C53&lt;=入力!$W$29-1),入力!$W$35,0)+IF($C53&lt;0,VLOOKUP(親1!$C53,入力!$W$11:$Z$16,4,1),0)</f>
        <v>0</v>
      </c>
      <c r="L53" s="3">
        <f>住居計算!D60</f>
        <v>36.555689999999998</v>
      </c>
      <c r="M53" s="3"/>
      <c r="N53" s="3"/>
      <c r="O53" s="3"/>
      <c r="P53" s="3"/>
      <c r="Q53" s="3"/>
      <c r="R53" s="3"/>
      <c r="S53" s="14"/>
      <c r="T53" s="18">
        <f t="shared" si="1"/>
        <v>36.555689999999998</v>
      </c>
      <c r="U53" s="24">
        <f t="shared" si="2"/>
        <v>-36.555689999999998</v>
      </c>
      <c r="V53" s="5"/>
      <c r="W53" s="3"/>
      <c r="X53" s="3"/>
      <c r="Y53" s="3"/>
      <c r="Z53" s="3"/>
      <c r="AA53" s="3"/>
      <c r="AB53" s="14"/>
      <c r="AC53" s="18">
        <f t="shared" si="3"/>
        <v>0</v>
      </c>
      <c r="AD53" s="24">
        <f t="shared" si="4"/>
        <v>-36.555689999999998</v>
      </c>
      <c r="AE53" s="5">
        <f t="shared" si="8"/>
        <v>0</v>
      </c>
      <c r="AF53" s="3">
        <f>IF(C53&lt;0,0,
IF(MOD(C53,MAX(入力!$AI$29,1))=入力!$AI$29-1,入力!$AH$29,0)
+IF(MOD(C53,MAX(入力!$AI$30,1))=入力!$AI$30-1,入力!$AH$30,0)
+IF(MOD(C53,MAX(入力!$AI$31,1))=入力!$AI$31-1,入力!$AH$31,0)
+IF(MOD(C53,MAX(入力!$AI$32,1))=入力!$AI$32-1,入力!$AH$32,0)
+IF(MOD(C53,MAX(入力!$AI$33,1))=入力!$AI$33-1,入力!$AH$33,0)
+IF(MOD(C53,MAX(入力!$AI$34,1))=入力!$AI$34-1,入力!$AH$34,0)
+IF(MOD(C53,MAX(入力!$AI$35,1))=入力!$AI$35-1,入力!$AH$35,0)
+IF(MOD(C53,MAX(入力!$AI$36,1))=入力!$AI$36-1,入力!$AH$36,0)
+IF(MOD(C53,MAX(入力!$AI$37,1))=入力!$AI$37-1,入力!$AH$37,0)
+IF(MOD(C53,MAX(入力!$AI$38,1))=入力!$AI$38-1,入力!$AH$38,0)
)</f>
        <v>0</v>
      </c>
      <c r="AG53" s="3"/>
      <c r="AH53" s="3"/>
      <c r="AI53" s="3"/>
      <c r="AJ53" s="14"/>
      <c r="AK53" s="18">
        <f t="shared" si="9"/>
        <v>0</v>
      </c>
      <c r="AL53" s="24">
        <f t="shared" si="5"/>
        <v>-36.555689999999998</v>
      </c>
      <c r="AM53" s="24">
        <f t="shared" si="6"/>
        <v>-6963.6274308241263</v>
      </c>
    </row>
    <row r="54" spans="2:39" x14ac:dyDescent="0.25">
      <c r="B54" s="5">
        <f t="shared" si="11"/>
        <v>72</v>
      </c>
      <c r="C54" s="3">
        <f t="shared" si="11"/>
        <v>38</v>
      </c>
      <c r="D54" s="34"/>
      <c r="E54" s="3"/>
      <c r="F54" s="3"/>
      <c r="G54" s="3"/>
      <c r="H54" s="3"/>
      <c r="I54" s="14"/>
      <c r="J54" s="24">
        <f t="shared" si="0"/>
        <v>0</v>
      </c>
      <c r="K54" s="5">
        <f>IF($C54=0,入力!$W$27,0)+IF(AND($C54&gt;=0,$C54&lt;=入力!$W$29-1),入力!$W$35,0)+IF($C54&lt;0,VLOOKUP(親1!$C54,入力!$W$11:$Z$16,4,1),0)</f>
        <v>0</v>
      </c>
      <c r="L54" s="3">
        <f>住居計算!D61</f>
        <v>36.424369999999996</v>
      </c>
      <c r="M54" s="3"/>
      <c r="N54" s="3"/>
      <c r="O54" s="3"/>
      <c r="P54" s="3"/>
      <c r="Q54" s="3"/>
      <c r="R54" s="3"/>
      <c r="S54" s="14"/>
      <c r="T54" s="18">
        <f t="shared" si="1"/>
        <v>36.424369999999996</v>
      </c>
      <c r="U54" s="24">
        <f t="shared" si="2"/>
        <v>-36.424369999999996</v>
      </c>
      <c r="V54" s="5"/>
      <c r="W54" s="3"/>
      <c r="X54" s="3"/>
      <c r="Y54" s="3"/>
      <c r="Z54" s="3"/>
      <c r="AA54" s="3"/>
      <c r="AB54" s="14"/>
      <c r="AC54" s="18">
        <f t="shared" si="3"/>
        <v>0</v>
      </c>
      <c r="AD54" s="24">
        <f t="shared" si="4"/>
        <v>-36.424369999999996</v>
      </c>
      <c r="AE54" s="5">
        <f t="shared" si="8"/>
        <v>0</v>
      </c>
      <c r="AF54" s="3">
        <f>IF(C54&lt;0,0,
IF(MOD(C54,MAX(入力!$AI$29,1))=入力!$AI$29-1,入力!$AH$29,0)
+IF(MOD(C54,MAX(入力!$AI$30,1))=入力!$AI$30-1,入力!$AH$30,0)
+IF(MOD(C54,MAX(入力!$AI$31,1))=入力!$AI$31-1,入力!$AH$31,0)
+IF(MOD(C54,MAX(入力!$AI$32,1))=入力!$AI$32-1,入力!$AH$32,0)
+IF(MOD(C54,MAX(入力!$AI$33,1))=入力!$AI$33-1,入力!$AH$33,0)
+IF(MOD(C54,MAX(入力!$AI$34,1))=入力!$AI$34-1,入力!$AH$34,0)
+IF(MOD(C54,MAX(入力!$AI$35,1))=入力!$AI$35-1,入力!$AH$35,0)
+IF(MOD(C54,MAX(入力!$AI$36,1))=入力!$AI$36-1,入力!$AH$36,0)
+IF(MOD(C54,MAX(入力!$AI$37,1))=入力!$AI$37-1,入力!$AH$37,0)
+IF(MOD(C54,MAX(入力!$AI$38,1))=入力!$AI$38-1,入力!$AH$38,0)
)</f>
        <v>0</v>
      </c>
      <c r="AG54" s="3"/>
      <c r="AH54" s="3"/>
      <c r="AI54" s="3"/>
      <c r="AJ54" s="14"/>
      <c r="AK54" s="18">
        <f t="shared" si="9"/>
        <v>0</v>
      </c>
      <c r="AL54" s="24">
        <f t="shared" si="5"/>
        <v>-36.424369999999996</v>
      </c>
      <c r="AM54" s="24">
        <f t="shared" si="6"/>
        <v>-7000.0518008241261</v>
      </c>
    </row>
    <row r="55" spans="2:39" x14ac:dyDescent="0.25">
      <c r="B55" s="5">
        <f t="shared" ref="B55:C70" si="12">B54+1</f>
        <v>73</v>
      </c>
      <c r="C55" s="3">
        <f t="shared" si="12"/>
        <v>39</v>
      </c>
      <c r="D55" s="34"/>
      <c r="E55" s="3"/>
      <c r="F55" s="3"/>
      <c r="G55" s="3"/>
      <c r="H55" s="3"/>
      <c r="I55" s="14"/>
      <c r="J55" s="24">
        <f t="shared" si="0"/>
        <v>0</v>
      </c>
      <c r="K55" s="5">
        <f>IF($C55=0,入力!$W$27,0)+IF(AND($C55&gt;=0,$C55&lt;=入力!$W$29-1),入力!$W$35,0)+IF($C55&lt;0,VLOOKUP(親1!$C55,入力!$W$11:$Z$16,4,1),0)</f>
        <v>0</v>
      </c>
      <c r="L55" s="3">
        <f>住居計算!D62</f>
        <v>36.424369999999996</v>
      </c>
      <c r="M55" s="3"/>
      <c r="N55" s="3"/>
      <c r="O55" s="3"/>
      <c r="P55" s="3"/>
      <c r="Q55" s="3"/>
      <c r="R55" s="3"/>
      <c r="S55" s="14"/>
      <c r="T55" s="18">
        <f t="shared" si="1"/>
        <v>36.424369999999996</v>
      </c>
      <c r="U55" s="24">
        <f t="shared" si="2"/>
        <v>-36.424369999999996</v>
      </c>
      <c r="V55" s="5"/>
      <c r="W55" s="3"/>
      <c r="X55" s="3"/>
      <c r="Y55" s="3"/>
      <c r="Z55" s="3"/>
      <c r="AA55" s="3"/>
      <c r="AB55" s="14"/>
      <c r="AC55" s="18">
        <f t="shared" si="3"/>
        <v>0</v>
      </c>
      <c r="AD55" s="24">
        <f t="shared" si="4"/>
        <v>-36.424369999999996</v>
      </c>
      <c r="AE55" s="5">
        <f t="shared" si="8"/>
        <v>0</v>
      </c>
      <c r="AF55" s="3">
        <f>IF(C55&lt;0,0,
IF(MOD(C55,MAX(入力!$AI$29,1))=入力!$AI$29-1,入力!$AH$29,0)
+IF(MOD(C55,MAX(入力!$AI$30,1))=入力!$AI$30-1,入力!$AH$30,0)
+IF(MOD(C55,MAX(入力!$AI$31,1))=入力!$AI$31-1,入力!$AH$31,0)
+IF(MOD(C55,MAX(入力!$AI$32,1))=入力!$AI$32-1,入力!$AH$32,0)
+IF(MOD(C55,MAX(入力!$AI$33,1))=入力!$AI$33-1,入力!$AH$33,0)
+IF(MOD(C55,MAX(入力!$AI$34,1))=入力!$AI$34-1,入力!$AH$34,0)
+IF(MOD(C55,MAX(入力!$AI$35,1))=入力!$AI$35-1,入力!$AH$35,0)
+IF(MOD(C55,MAX(入力!$AI$36,1))=入力!$AI$36-1,入力!$AH$36,0)
+IF(MOD(C55,MAX(入力!$AI$37,1))=入力!$AI$37-1,入力!$AH$37,0)
+IF(MOD(C55,MAX(入力!$AI$38,1))=入力!$AI$38-1,入力!$AH$38,0)
)</f>
        <v>316</v>
      </c>
      <c r="AG55" s="3"/>
      <c r="AH55" s="3"/>
      <c r="AI55" s="3"/>
      <c r="AJ55" s="14"/>
      <c r="AK55" s="18">
        <f t="shared" si="9"/>
        <v>316</v>
      </c>
      <c r="AL55" s="24">
        <f t="shared" si="5"/>
        <v>-352.42437000000001</v>
      </c>
      <c r="AM55" s="24">
        <f t="shared" si="6"/>
        <v>-7352.4761708241258</v>
      </c>
    </row>
    <row r="56" spans="2:39" x14ac:dyDescent="0.25">
      <c r="B56" s="5">
        <f t="shared" si="12"/>
        <v>74</v>
      </c>
      <c r="C56" s="3">
        <f t="shared" si="12"/>
        <v>40</v>
      </c>
      <c r="D56" s="34"/>
      <c r="E56" s="3"/>
      <c r="F56" s="3"/>
      <c r="G56" s="3"/>
      <c r="H56" s="3"/>
      <c r="I56" s="14"/>
      <c r="J56" s="24">
        <f t="shared" si="0"/>
        <v>0</v>
      </c>
      <c r="K56" s="5">
        <f>IF($C56=0,入力!$W$27,0)+IF(AND($C56&gt;=0,$C56&lt;=入力!$W$29-1),入力!$W$35,0)+IF($C56&lt;0,VLOOKUP(親1!$C56,入力!$W$11:$Z$16,4,1),0)</f>
        <v>0</v>
      </c>
      <c r="L56" s="3">
        <f>住居計算!D63</f>
        <v>36.384974</v>
      </c>
      <c r="M56" s="3"/>
      <c r="N56" s="3"/>
      <c r="O56" s="3"/>
      <c r="P56" s="3"/>
      <c r="Q56" s="3"/>
      <c r="R56" s="3"/>
      <c r="S56" s="14"/>
      <c r="T56" s="18">
        <f t="shared" si="1"/>
        <v>36.384974</v>
      </c>
      <c r="U56" s="24">
        <f t="shared" si="2"/>
        <v>-36.384974</v>
      </c>
      <c r="V56" s="5"/>
      <c r="W56" s="3"/>
      <c r="X56" s="3"/>
      <c r="Y56" s="3"/>
      <c r="Z56" s="3"/>
      <c r="AA56" s="3"/>
      <c r="AB56" s="14"/>
      <c r="AC56" s="18">
        <f t="shared" si="3"/>
        <v>0</v>
      </c>
      <c r="AD56" s="24">
        <f t="shared" si="4"/>
        <v>-36.384974</v>
      </c>
      <c r="AE56" s="5">
        <f t="shared" si="8"/>
        <v>0</v>
      </c>
      <c r="AF56" s="3">
        <f>IF(C56&lt;0,0,
IF(MOD(C56,MAX(入力!$AI$29,1))=入力!$AI$29-1,入力!$AH$29,0)
+IF(MOD(C56,MAX(入力!$AI$30,1))=入力!$AI$30-1,入力!$AH$30,0)
+IF(MOD(C56,MAX(入力!$AI$31,1))=入力!$AI$31-1,入力!$AH$31,0)
+IF(MOD(C56,MAX(入力!$AI$32,1))=入力!$AI$32-1,入力!$AH$32,0)
+IF(MOD(C56,MAX(入力!$AI$33,1))=入力!$AI$33-1,入力!$AH$33,0)
+IF(MOD(C56,MAX(入力!$AI$34,1))=入力!$AI$34-1,入力!$AH$34,0)
+IF(MOD(C56,MAX(入力!$AI$35,1))=入力!$AI$35-1,入力!$AH$35,0)
+IF(MOD(C56,MAX(入力!$AI$36,1))=入力!$AI$36-1,入力!$AH$36,0)
+IF(MOD(C56,MAX(入力!$AI$37,1))=入力!$AI$37-1,入力!$AH$37,0)
+IF(MOD(C56,MAX(入力!$AI$38,1))=入力!$AI$38-1,入力!$AH$38,0)
)</f>
        <v>0</v>
      </c>
      <c r="AG56" s="3"/>
      <c r="AH56" s="3"/>
      <c r="AI56" s="3"/>
      <c r="AJ56" s="14"/>
      <c r="AK56" s="18">
        <f t="shared" si="9"/>
        <v>0</v>
      </c>
      <c r="AL56" s="24">
        <f t="shared" si="5"/>
        <v>-36.384974</v>
      </c>
      <c r="AM56" s="24">
        <f t="shared" si="6"/>
        <v>-7388.8611448241254</v>
      </c>
    </row>
    <row r="57" spans="2:39" x14ac:dyDescent="0.25">
      <c r="B57" s="5">
        <f t="shared" si="12"/>
        <v>75</v>
      </c>
      <c r="C57" s="3">
        <f t="shared" si="12"/>
        <v>41</v>
      </c>
      <c r="D57" s="34"/>
      <c r="E57" s="3"/>
      <c r="F57" s="3"/>
      <c r="G57" s="3"/>
      <c r="H57" s="3"/>
      <c r="I57" s="14"/>
      <c r="J57" s="24">
        <f t="shared" si="0"/>
        <v>0</v>
      </c>
      <c r="K57" s="5">
        <f>IF($C57=0,入力!$W$27,0)+IF(AND($C57&gt;=0,$C57&lt;=入力!$W$29-1),入力!$W$35,0)+IF($C57&lt;0,VLOOKUP(親1!$C57,入力!$W$11:$Z$16,4,1),0)</f>
        <v>0</v>
      </c>
      <c r="L57" s="3">
        <f>住居計算!D64</f>
        <v>36.362649599999997</v>
      </c>
      <c r="M57" s="3"/>
      <c r="N57" s="3"/>
      <c r="O57" s="3"/>
      <c r="P57" s="3"/>
      <c r="Q57" s="3"/>
      <c r="R57" s="3"/>
      <c r="S57" s="14"/>
      <c r="T57" s="18">
        <f t="shared" si="1"/>
        <v>36.362649599999997</v>
      </c>
      <c r="U57" s="24">
        <f t="shared" si="2"/>
        <v>-36.362649599999997</v>
      </c>
      <c r="V57" s="5"/>
      <c r="W57" s="3"/>
      <c r="X57" s="3"/>
      <c r="Y57" s="3"/>
      <c r="Z57" s="3"/>
      <c r="AA57" s="3"/>
      <c r="AB57" s="14"/>
      <c r="AC57" s="18">
        <f t="shared" si="3"/>
        <v>0</v>
      </c>
      <c r="AD57" s="24">
        <f t="shared" si="4"/>
        <v>-36.362649599999997</v>
      </c>
      <c r="AE57" s="5">
        <f t="shared" si="8"/>
        <v>0</v>
      </c>
      <c r="AF57" s="3">
        <f>IF(C57&lt;0,0,
IF(MOD(C57,MAX(入力!$AI$29,1))=入力!$AI$29-1,入力!$AH$29,0)
+IF(MOD(C57,MAX(入力!$AI$30,1))=入力!$AI$30-1,入力!$AH$30,0)
+IF(MOD(C57,MAX(入力!$AI$31,1))=入力!$AI$31-1,入力!$AH$31,0)
+IF(MOD(C57,MAX(入力!$AI$32,1))=入力!$AI$32-1,入力!$AH$32,0)
+IF(MOD(C57,MAX(入力!$AI$33,1))=入力!$AI$33-1,入力!$AH$33,0)
+IF(MOD(C57,MAX(入力!$AI$34,1))=入力!$AI$34-1,入力!$AH$34,0)
+IF(MOD(C57,MAX(入力!$AI$35,1))=入力!$AI$35-1,入力!$AH$35,0)
+IF(MOD(C57,MAX(入力!$AI$36,1))=入力!$AI$36-1,入力!$AH$36,0)
+IF(MOD(C57,MAX(入力!$AI$37,1))=入力!$AI$37-1,入力!$AH$37,0)
+IF(MOD(C57,MAX(入力!$AI$38,1))=入力!$AI$38-1,入力!$AH$38,0)
)</f>
        <v>0</v>
      </c>
      <c r="AG57" s="3"/>
      <c r="AH57" s="3"/>
      <c r="AI57" s="3"/>
      <c r="AJ57" s="14"/>
      <c r="AK57" s="18">
        <f t="shared" si="9"/>
        <v>0</v>
      </c>
      <c r="AL57" s="24">
        <f t="shared" si="5"/>
        <v>-36.362649599999997</v>
      </c>
      <c r="AM57" s="24">
        <f t="shared" si="6"/>
        <v>-7425.2237944241251</v>
      </c>
    </row>
    <row r="58" spans="2:39" x14ac:dyDescent="0.25">
      <c r="B58" s="5">
        <f t="shared" si="12"/>
        <v>76</v>
      </c>
      <c r="C58" s="3">
        <f t="shared" si="12"/>
        <v>42</v>
      </c>
      <c r="D58" s="34"/>
      <c r="E58" s="3"/>
      <c r="F58" s="3"/>
      <c r="G58" s="3"/>
      <c r="H58" s="3"/>
      <c r="I58" s="14"/>
      <c r="J58" s="24">
        <f t="shared" si="0"/>
        <v>0</v>
      </c>
      <c r="K58" s="5">
        <f>IF($C58=0,入力!$W$27,0)+IF(AND($C58&gt;=0,$C58&lt;=入力!$W$29-1),入力!$W$35,0)+IF($C58&lt;0,VLOOKUP(親1!$C58,入力!$W$11:$Z$16,4,1),0)</f>
        <v>0</v>
      </c>
      <c r="L58" s="3">
        <f>住居計算!D65</f>
        <v>36.340325199999995</v>
      </c>
      <c r="M58" s="3"/>
      <c r="N58" s="3"/>
      <c r="O58" s="3"/>
      <c r="P58" s="3"/>
      <c r="Q58" s="3"/>
      <c r="R58" s="3"/>
      <c r="S58" s="14"/>
      <c r="T58" s="18">
        <f t="shared" si="1"/>
        <v>36.340325199999995</v>
      </c>
      <c r="U58" s="24">
        <f t="shared" si="2"/>
        <v>-36.340325199999995</v>
      </c>
      <c r="V58" s="5"/>
      <c r="W58" s="3"/>
      <c r="X58" s="3"/>
      <c r="Y58" s="3"/>
      <c r="Z58" s="3"/>
      <c r="AA58" s="3"/>
      <c r="AB58" s="14"/>
      <c r="AC58" s="18">
        <f t="shared" si="3"/>
        <v>0</v>
      </c>
      <c r="AD58" s="24">
        <f t="shared" si="4"/>
        <v>-36.340325199999995</v>
      </c>
      <c r="AE58" s="5">
        <f t="shared" si="8"/>
        <v>0</v>
      </c>
      <c r="AF58" s="3">
        <f>IF(C58&lt;0,0,
IF(MOD(C58,MAX(入力!$AI$29,1))=入力!$AI$29-1,入力!$AH$29,0)
+IF(MOD(C58,MAX(入力!$AI$30,1))=入力!$AI$30-1,入力!$AH$30,0)
+IF(MOD(C58,MAX(入力!$AI$31,1))=入力!$AI$31-1,入力!$AH$31,0)
+IF(MOD(C58,MAX(入力!$AI$32,1))=入力!$AI$32-1,入力!$AH$32,0)
+IF(MOD(C58,MAX(入力!$AI$33,1))=入力!$AI$33-1,入力!$AH$33,0)
+IF(MOD(C58,MAX(入力!$AI$34,1))=入力!$AI$34-1,入力!$AH$34,0)
+IF(MOD(C58,MAX(入力!$AI$35,1))=入力!$AI$35-1,入力!$AH$35,0)
+IF(MOD(C58,MAX(入力!$AI$36,1))=入力!$AI$36-1,入力!$AH$36,0)
+IF(MOD(C58,MAX(入力!$AI$37,1))=入力!$AI$37-1,入力!$AH$37,0)
+IF(MOD(C58,MAX(入力!$AI$38,1))=入力!$AI$38-1,入力!$AH$38,0)
)</f>
        <v>0</v>
      </c>
      <c r="AG58" s="3"/>
      <c r="AH58" s="3"/>
      <c r="AI58" s="3"/>
      <c r="AJ58" s="14"/>
      <c r="AK58" s="18">
        <f t="shared" si="9"/>
        <v>0</v>
      </c>
      <c r="AL58" s="24">
        <f t="shared" si="5"/>
        <v>-36.340325199999995</v>
      </c>
      <c r="AM58" s="24">
        <f t="shared" si="6"/>
        <v>-7461.5641196241249</v>
      </c>
    </row>
    <row r="59" spans="2:39" x14ac:dyDescent="0.25">
      <c r="B59" s="5">
        <f t="shared" si="12"/>
        <v>77</v>
      </c>
      <c r="C59" s="3">
        <f t="shared" si="12"/>
        <v>43</v>
      </c>
      <c r="D59" s="34"/>
      <c r="E59" s="3"/>
      <c r="F59" s="3"/>
      <c r="G59" s="3"/>
      <c r="H59" s="3"/>
      <c r="I59" s="14"/>
      <c r="J59" s="24">
        <f t="shared" si="0"/>
        <v>0</v>
      </c>
      <c r="K59" s="5">
        <f>IF($C59=0,入力!$W$27,0)+IF(AND($C59&gt;=0,$C59&lt;=入力!$W$29-1),入力!$W$35,0)+IF($C59&lt;0,VLOOKUP(親1!$C59,入力!$W$11:$Z$16,4,1),0)</f>
        <v>0</v>
      </c>
      <c r="L59" s="3">
        <f>住居計算!D66</f>
        <v>36.316687599999995</v>
      </c>
      <c r="M59" s="3"/>
      <c r="N59" s="3"/>
      <c r="O59" s="3"/>
      <c r="P59" s="3"/>
      <c r="Q59" s="3"/>
      <c r="R59" s="3"/>
      <c r="S59" s="14"/>
      <c r="T59" s="18">
        <f t="shared" si="1"/>
        <v>36.316687599999995</v>
      </c>
      <c r="U59" s="24">
        <f t="shared" si="2"/>
        <v>-36.316687599999995</v>
      </c>
      <c r="V59" s="5"/>
      <c r="W59" s="3"/>
      <c r="X59" s="3"/>
      <c r="Y59" s="3"/>
      <c r="Z59" s="3"/>
      <c r="AA59" s="3"/>
      <c r="AB59" s="14"/>
      <c r="AC59" s="18">
        <f t="shared" si="3"/>
        <v>0</v>
      </c>
      <c r="AD59" s="24">
        <f t="shared" si="4"/>
        <v>-36.316687599999995</v>
      </c>
      <c r="AE59" s="5">
        <f t="shared" si="8"/>
        <v>0</v>
      </c>
      <c r="AF59" s="3">
        <f>IF(C59&lt;0,0,
IF(MOD(C59,MAX(入力!$AI$29,1))=入力!$AI$29-1,入力!$AH$29,0)
+IF(MOD(C59,MAX(入力!$AI$30,1))=入力!$AI$30-1,入力!$AH$30,0)
+IF(MOD(C59,MAX(入力!$AI$31,1))=入力!$AI$31-1,入力!$AH$31,0)
+IF(MOD(C59,MAX(入力!$AI$32,1))=入力!$AI$32-1,入力!$AH$32,0)
+IF(MOD(C59,MAX(入力!$AI$33,1))=入力!$AI$33-1,入力!$AH$33,0)
+IF(MOD(C59,MAX(入力!$AI$34,1))=入力!$AI$34-1,入力!$AH$34,0)
+IF(MOD(C59,MAX(入力!$AI$35,1))=入力!$AI$35-1,入力!$AH$35,0)
+IF(MOD(C59,MAX(入力!$AI$36,1))=入力!$AI$36-1,入力!$AH$36,0)
+IF(MOD(C59,MAX(入力!$AI$37,1))=入力!$AI$37-1,入力!$AH$37,0)
+IF(MOD(C59,MAX(入力!$AI$38,1))=入力!$AI$38-1,入力!$AH$38,0)
)</f>
        <v>0</v>
      </c>
      <c r="AG59" s="3"/>
      <c r="AH59" s="3"/>
      <c r="AI59" s="3"/>
      <c r="AJ59" s="14"/>
      <c r="AK59" s="18">
        <f t="shared" si="9"/>
        <v>0</v>
      </c>
      <c r="AL59" s="24">
        <f t="shared" si="5"/>
        <v>-36.316687599999995</v>
      </c>
      <c r="AM59" s="24">
        <f t="shared" si="6"/>
        <v>-7497.8808072241245</v>
      </c>
    </row>
    <row r="60" spans="2:39" x14ac:dyDescent="0.25">
      <c r="B60" s="5">
        <f t="shared" si="12"/>
        <v>78</v>
      </c>
      <c r="C60" s="3">
        <f t="shared" si="12"/>
        <v>44</v>
      </c>
      <c r="D60" s="34"/>
      <c r="E60" s="3"/>
      <c r="F60" s="3"/>
      <c r="G60" s="3"/>
      <c r="H60" s="3"/>
      <c r="I60" s="14"/>
      <c r="J60" s="24">
        <f t="shared" si="0"/>
        <v>0</v>
      </c>
      <c r="K60" s="5">
        <f>IF($C60=0,入力!$W$27,0)+IF(AND($C60&gt;=0,$C60&lt;=入力!$W$29-1),入力!$W$35,0)+IF($C60&lt;0,VLOOKUP(親1!$C60,入力!$W$11:$Z$16,4,1),0)</f>
        <v>0</v>
      </c>
      <c r="L60" s="3">
        <f>住居計算!D67</f>
        <v>36.293049999999994</v>
      </c>
      <c r="M60" s="3"/>
      <c r="N60" s="3"/>
      <c r="O60" s="3"/>
      <c r="P60" s="3"/>
      <c r="Q60" s="3"/>
      <c r="R60" s="3"/>
      <c r="S60" s="14"/>
      <c r="T60" s="18">
        <f t="shared" si="1"/>
        <v>36.293049999999994</v>
      </c>
      <c r="U60" s="24">
        <f t="shared" si="2"/>
        <v>-36.293049999999994</v>
      </c>
      <c r="V60" s="5"/>
      <c r="W60" s="3"/>
      <c r="X60" s="3"/>
      <c r="Y60" s="3"/>
      <c r="Z60" s="3"/>
      <c r="AA60" s="3"/>
      <c r="AB60" s="14"/>
      <c r="AC60" s="18">
        <f t="shared" si="3"/>
        <v>0</v>
      </c>
      <c r="AD60" s="24">
        <f t="shared" si="4"/>
        <v>-36.293049999999994</v>
      </c>
      <c r="AE60" s="5">
        <f t="shared" si="8"/>
        <v>0</v>
      </c>
      <c r="AF60" s="3">
        <f>IF(C60&lt;0,0,
IF(MOD(C60,MAX(入力!$AI$29,1))=入力!$AI$29-1,入力!$AH$29,0)
+IF(MOD(C60,MAX(入力!$AI$30,1))=入力!$AI$30-1,入力!$AH$30,0)
+IF(MOD(C60,MAX(入力!$AI$31,1))=入力!$AI$31-1,入力!$AH$31,0)
+IF(MOD(C60,MAX(入力!$AI$32,1))=入力!$AI$32-1,入力!$AH$32,0)
+IF(MOD(C60,MAX(入力!$AI$33,1))=入力!$AI$33-1,入力!$AH$33,0)
+IF(MOD(C60,MAX(入力!$AI$34,1))=入力!$AI$34-1,入力!$AH$34,0)
+IF(MOD(C60,MAX(入力!$AI$35,1))=入力!$AI$35-1,入力!$AH$35,0)
+IF(MOD(C60,MAX(入力!$AI$36,1))=入力!$AI$36-1,入力!$AH$36,0)
+IF(MOD(C60,MAX(入力!$AI$37,1))=入力!$AI$37-1,入力!$AH$37,0)
+IF(MOD(C60,MAX(入力!$AI$38,1))=入力!$AI$38-1,入力!$AH$38,0)
)</f>
        <v>0</v>
      </c>
      <c r="AG60" s="3"/>
      <c r="AH60" s="3"/>
      <c r="AI60" s="3"/>
      <c r="AJ60" s="14"/>
      <c r="AK60" s="18">
        <f t="shared" si="9"/>
        <v>0</v>
      </c>
      <c r="AL60" s="24">
        <f t="shared" si="5"/>
        <v>-36.293049999999994</v>
      </c>
      <c r="AM60" s="24">
        <f t="shared" si="6"/>
        <v>-7534.1738572241247</v>
      </c>
    </row>
    <row r="61" spans="2:39" x14ac:dyDescent="0.25">
      <c r="B61" s="5">
        <f t="shared" si="12"/>
        <v>79</v>
      </c>
      <c r="C61" s="3">
        <f t="shared" si="12"/>
        <v>45</v>
      </c>
      <c r="D61" s="34"/>
      <c r="E61" s="3"/>
      <c r="F61" s="3"/>
      <c r="G61" s="3"/>
      <c r="H61" s="3"/>
      <c r="I61" s="14"/>
      <c r="J61" s="24">
        <f t="shared" si="0"/>
        <v>0</v>
      </c>
      <c r="K61" s="5">
        <f>IF($C61=0,入力!$W$27,0)+IF(AND($C61&gt;=0,$C61&lt;=入力!$W$29-1),入力!$W$35,0)+IF($C61&lt;0,VLOOKUP(親1!$C61,入力!$W$11:$Z$16,4,1),0)</f>
        <v>0</v>
      </c>
      <c r="L61" s="3">
        <f>住居計算!D68</f>
        <v>36.293049999999994</v>
      </c>
      <c r="M61" s="3"/>
      <c r="N61" s="3"/>
      <c r="O61" s="3"/>
      <c r="P61" s="3"/>
      <c r="Q61" s="3"/>
      <c r="R61" s="3"/>
      <c r="S61" s="14"/>
      <c r="T61" s="18">
        <f t="shared" si="1"/>
        <v>36.293049999999994</v>
      </c>
      <c r="U61" s="24">
        <f t="shared" si="2"/>
        <v>-36.293049999999994</v>
      </c>
      <c r="V61" s="5"/>
      <c r="W61" s="3"/>
      <c r="X61" s="3"/>
      <c r="Y61" s="3"/>
      <c r="Z61" s="3"/>
      <c r="AA61" s="3"/>
      <c r="AB61" s="14"/>
      <c r="AC61" s="18">
        <f t="shared" si="3"/>
        <v>0</v>
      </c>
      <c r="AD61" s="24">
        <f t="shared" si="4"/>
        <v>-36.293049999999994</v>
      </c>
      <c r="AE61" s="5">
        <f t="shared" si="8"/>
        <v>0</v>
      </c>
      <c r="AF61" s="3">
        <f>IF(C61&lt;0,0,
IF(MOD(C61,MAX(入力!$AI$29,1))=入力!$AI$29-1,入力!$AH$29,0)
+IF(MOD(C61,MAX(入力!$AI$30,1))=入力!$AI$30-1,入力!$AH$30,0)
+IF(MOD(C61,MAX(入力!$AI$31,1))=入力!$AI$31-1,入力!$AH$31,0)
+IF(MOD(C61,MAX(入力!$AI$32,1))=入力!$AI$32-1,入力!$AH$32,0)
+IF(MOD(C61,MAX(入力!$AI$33,1))=入力!$AI$33-1,入力!$AH$33,0)
+IF(MOD(C61,MAX(入力!$AI$34,1))=入力!$AI$34-1,入力!$AH$34,0)
+IF(MOD(C61,MAX(入力!$AI$35,1))=入力!$AI$35-1,入力!$AH$35,0)
+IF(MOD(C61,MAX(入力!$AI$36,1))=入力!$AI$36-1,入力!$AH$36,0)
+IF(MOD(C61,MAX(入力!$AI$37,1))=入力!$AI$37-1,入力!$AH$37,0)
+IF(MOD(C61,MAX(入力!$AI$38,1))=入力!$AI$38-1,入力!$AH$38,0)
)</f>
        <v>0</v>
      </c>
      <c r="AG61" s="3"/>
      <c r="AH61" s="3"/>
      <c r="AI61" s="3"/>
      <c r="AJ61" s="14"/>
      <c r="AK61" s="18">
        <f t="shared" si="9"/>
        <v>0</v>
      </c>
      <c r="AL61" s="24">
        <f t="shared" si="5"/>
        <v>-36.293049999999994</v>
      </c>
      <c r="AM61" s="24">
        <f t="shared" si="6"/>
        <v>-7570.466907224125</v>
      </c>
    </row>
    <row r="62" spans="2:39" x14ac:dyDescent="0.25">
      <c r="B62" s="5">
        <f t="shared" si="12"/>
        <v>80</v>
      </c>
      <c r="C62" s="3">
        <f t="shared" si="12"/>
        <v>46</v>
      </c>
      <c r="D62" s="34"/>
      <c r="E62" s="3"/>
      <c r="F62" s="3"/>
      <c r="G62" s="3"/>
      <c r="H62" s="3"/>
      <c r="I62" s="14"/>
      <c r="J62" s="24">
        <f t="shared" si="0"/>
        <v>0</v>
      </c>
      <c r="K62" s="5">
        <f>IF($C62=0,入力!$W$27,0)+IF(AND($C62&gt;=0,$C62&lt;=入力!$W$29-1),入力!$W$35,0)+IF($C62&lt;0,VLOOKUP(親1!$C62,入力!$W$11:$Z$16,4,1),0)</f>
        <v>0</v>
      </c>
      <c r="L62" s="3">
        <f>住居計算!D69</f>
        <v>36.293049999999994</v>
      </c>
      <c r="M62" s="3"/>
      <c r="N62" s="3"/>
      <c r="O62" s="3"/>
      <c r="P62" s="3"/>
      <c r="Q62" s="3"/>
      <c r="R62" s="3"/>
      <c r="S62" s="14"/>
      <c r="T62" s="18">
        <f t="shared" si="1"/>
        <v>36.293049999999994</v>
      </c>
      <c r="U62" s="24">
        <f t="shared" si="2"/>
        <v>-36.293049999999994</v>
      </c>
      <c r="V62" s="5"/>
      <c r="W62" s="3"/>
      <c r="X62" s="3"/>
      <c r="Y62" s="3"/>
      <c r="Z62" s="3"/>
      <c r="AA62" s="3"/>
      <c r="AB62" s="14"/>
      <c r="AC62" s="18">
        <f t="shared" si="3"/>
        <v>0</v>
      </c>
      <c r="AD62" s="24">
        <f t="shared" si="4"/>
        <v>-36.293049999999994</v>
      </c>
      <c r="AE62" s="5">
        <f t="shared" si="8"/>
        <v>0</v>
      </c>
      <c r="AF62" s="3">
        <f>IF(C62&lt;0,0,
IF(MOD(C62,MAX(入力!$AI$29,1))=入力!$AI$29-1,入力!$AH$29,0)
+IF(MOD(C62,MAX(入力!$AI$30,1))=入力!$AI$30-1,入力!$AH$30,0)
+IF(MOD(C62,MAX(入力!$AI$31,1))=入力!$AI$31-1,入力!$AH$31,0)
+IF(MOD(C62,MAX(入力!$AI$32,1))=入力!$AI$32-1,入力!$AH$32,0)
+IF(MOD(C62,MAX(入力!$AI$33,1))=入力!$AI$33-1,入力!$AH$33,0)
+IF(MOD(C62,MAX(入力!$AI$34,1))=入力!$AI$34-1,入力!$AH$34,0)
+IF(MOD(C62,MAX(入力!$AI$35,1))=入力!$AI$35-1,入力!$AH$35,0)
+IF(MOD(C62,MAX(入力!$AI$36,1))=入力!$AI$36-1,入力!$AH$36,0)
+IF(MOD(C62,MAX(入力!$AI$37,1))=入力!$AI$37-1,入力!$AH$37,0)
+IF(MOD(C62,MAX(入力!$AI$38,1))=入力!$AI$38-1,入力!$AH$38,0)
)</f>
        <v>0</v>
      </c>
      <c r="AG62" s="3"/>
      <c r="AH62" s="3"/>
      <c r="AI62" s="3"/>
      <c r="AJ62" s="14"/>
      <c r="AK62" s="18">
        <f t="shared" si="9"/>
        <v>0</v>
      </c>
      <c r="AL62" s="24">
        <f t="shared" si="5"/>
        <v>-36.293049999999994</v>
      </c>
      <c r="AM62" s="24">
        <f t="shared" si="6"/>
        <v>-7606.7599572241252</v>
      </c>
    </row>
    <row r="63" spans="2:39" x14ac:dyDescent="0.25">
      <c r="B63" s="5">
        <f t="shared" si="12"/>
        <v>81</v>
      </c>
      <c r="C63" s="3">
        <f t="shared" si="12"/>
        <v>47</v>
      </c>
      <c r="D63" s="34"/>
      <c r="E63" s="3"/>
      <c r="F63" s="3"/>
      <c r="G63" s="3"/>
      <c r="H63" s="3"/>
      <c r="I63" s="14"/>
      <c r="J63" s="24">
        <f t="shared" si="0"/>
        <v>0</v>
      </c>
      <c r="K63" s="5">
        <f>IF($C63=0,入力!$W$27,0)+IF(AND($C63&gt;=0,$C63&lt;=入力!$W$29-1),入力!$W$35,0)+IF($C63&lt;0,VLOOKUP(親1!$C63,入力!$W$11:$Z$16,4,1),0)</f>
        <v>0</v>
      </c>
      <c r="L63" s="3">
        <f>住居計算!D70</f>
        <v>36.293049999999994</v>
      </c>
      <c r="M63" s="3"/>
      <c r="N63" s="3"/>
      <c r="O63" s="3"/>
      <c r="P63" s="3"/>
      <c r="Q63" s="3"/>
      <c r="R63" s="3"/>
      <c r="S63" s="14"/>
      <c r="T63" s="18">
        <f t="shared" si="1"/>
        <v>36.293049999999994</v>
      </c>
      <c r="U63" s="24">
        <f t="shared" si="2"/>
        <v>-36.293049999999994</v>
      </c>
      <c r="V63" s="5"/>
      <c r="W63" s="3"/>
      <c r="X63" s="3"/>
      <c r="Y63" s="3"/>
      <c r="Z63" s="3"/>
      <c r="AA63" s="3"/>
      <c r="AB63" s="14"/>
      <c r="AC63" s="18">
        <f t="shared" si="3"/>
        <v>0</v>
      </c>
      <c r="AD63" s="24">
        <f t="shared" si="4"/>
        <v>-36.293049999999994</v>
      </c>
      <c r="AE63" s="5">
        <f t="shared" si="8"/>
        <v>0</v>
      </c>
      <c r="AF63" s="3">
        <f>IF(C63&lt;0,0,
IF(MOD(C63,MAX(入力!$AI$29,1))=入力!$AI$29-1,入力!$AH$29,0)
+IF(MOD(C63,MAX(入力!$AI$30,1))=入力!$AI$30-1,入力!$AH$30,0)
+IF(MOD(C63,MAX(入力!$AI$31,1))=入力!$AI$31-1,入力!$AH$31,0)
+IF(MOD(C63,MAX(入力!$AI$32,1))=入力!$AI$32-1,入力!$AH$32,0)
+IF(MOD(C63,MAX(入力!$AI$33,1))=入力!$AI$33-1,入力!$AH$33,0)
+IF(MOD(C63,MAX(入力!$AI$34,1))=入力!$AI$34-1,入力!$AH$34,0)
+IF(MOD(C63,MAX(入力!$AI$35,1))=入力!$AI$35-1,入力!$AH$35,0)
+IF(MOD(C63,MAX(入力!$AI$36,1))=入力!$AI$36-1,入力!$AH$36,0)
+IF(MOD(C63,MAX(入力!$AI$37,1))=入力!$AI$37-1,入力!$AH$37,0)
+IF(MOD(C63,MAX(入力!$AI$38,1))=入力!$AI$38-1,入力!$AH$38,0)
)</f>
        <v>0</v>
      </c>
      <c r="AG63" s="3"/>
      <c r="AH63" s="3"/>
      <c r="AI63" s="3"/>
      <c r="AJ63" s="14"/>
      <c r="AK63" s="18">
        <f t="shared" si="9"/>
        <v>0</v>
      </c>
      <c r="AL63" s="24">
        <f t="shared" si="5"/>
        <v>-36.293049999999994</v>
      </c>
      <c r="AM63" s="24">
        <f t="shared" si="6"/>
        <v>-7643.0530072241254</v>
      </c>
    </row>
    <row r="64" spans="2:39" x14ac:dyDescent="0.25">
      <c r="B64" s="5">
        <f t="shared" si="12"/>
        <v>82</v>
      </c>
      <c r="C64" s="3">
        <f t="shared" si="12"/>
        <v>48</v>
      </c>
      <c r="D64" s="34"/>
      <c r="E64" s="3"/>
      <c r="F64" s="3"/>
      <c r="G64" s="3"/>
      <c r="H64" s="3"/>
      <c r="I64" s="14"/>
      <c r="J64" s="24">
        <f t="shared" si="0"/>
        <v>0</v>
      </c>
      <c r="K64" s="5">
        <f>IF($C64=0,入力!$W$27,0)+IF(AND($C64&gt;=0,$C64&lt;=入力!$W$29-1),入力!$W$35,0)+IF($C64&lt;0,VLOOKUP(親1!$C64,入力!$W$11:$Z$16,4,1),0)</f>
        <v>0</v>
      </c>
      <c r="L64" s="3">
        <f>住居計算!D71</f>
        <v>36.293049999999994</v>
      </c>
      <c r="M64" s="3"/>
      <c r="N64" s="3"/>
      <c r="O64" s="3"/>
      <c r="P64" s="3"/>
      <c r="Q64" s="3"/>
      <c r="R64" s="3"/>
      <c r="S64" s="14"/>
      <c r="T64" s="18">
        <f t="shared" si="1"/>
        <v>36.293049999999994</v>
      </c>
      <c r="U64" s="24">
        <f t="shared" si="2"/>
        <v>-36.293049999999994</v>
      </c>
      <c r="V64" s="5"/>
      <c r="W64" s="3"/>
      <c r="X64" s="3"/>
      <c r="Y64" s="3"/>
      <c r="Z64" s="3"/>
      <c r="AA64" s="3"/>
      <c r="AB64" s="14"/>
      <c r="AC64" s="18">
        <f t="shared" si="3"/>
        <v>0</v>
      </c>
      <c r="AD64" s="24">
        <f t="shared" si="4"/>
        <v>-36.293049999999994</v>
      </c>
      <c r="AE64" s="5">
        <f t="shared" si="8"/>
        <v>0</v>
      </c>
      <c r="AF64" s="3">
        <f>IF(C64&lt;0,0,
IF(MOD(C64,MAX(入力!$AI$29,1))=入力!$AI$29-1,入力!$AH$29,0)
+IF(MOD(C64,MAX(入力!$AI$30,1))=入力!$AI$30-1,入力!$AH$30,0)
+IF(MOD(C64,MAX(入力!$AI$31,1))=入力!$AI$31-1,入力!$AH$31,0)
+IF(MOD(C64,MAX(入力!$AI$32,1))=入力!$AI$32-1,入力!$AH$32,0)
+IF(MOD(C64,MAX(入力!$AI$33,1))=入力!$AI$33-1,入力!$AH$33,0)
+IF(MOD(C64,MAX(入力!$AI$34,1))=入力!$AI$34-1,入力!$AH$34,0)
+IF(MOD(C64,MAX(入力!$AI$35,1))=入力!$AI$35-1,入力!$AH$35,0)
+IF(MOD(C64,MAX(入力!$AI$36,1))=入力!$AI$36-1,入力!$AH$36,0)
+IF(MOD(C64,MAX(入力!$AI$37,1))=入力!$AI$37-1,入力!$AH$37,0)
+IF(MOD(C64,MAX(入力!$AI$38,1))=入力!$AI$38-1,入力!$AH$38,0)
)</f>
        <v>0</v>
      </c>
      <c r="AG64" s="3"/>
      <c r="AH64" s="3"/>
      <c r="AI64" s="3"/>
      <c r="AJ64" s="14"/>
      <c r="AK64" s="18">
        <f t="shared" si="9"/>
        <v>0</v>
      </c>
      <c r="AL64" s="24">
        <f t="shared" si="5"/>
        <v>-36.293049999999994</v>
      </c>
      <c r="AM64" s="24">
        <f t="shared" si="6"/>
        <v>-7679.3460572241256</v>
      </c>
    </row>
    <row r="65" spans="2:39" x14ac:dyDescent="0.25">
      <c r="B65" s="5">
        <f t="shared" si="12"/>
        <v>83</v>
      </c>
      <c r="C65" s="3">
        <f t="shared" si="12"/>
        <v>49</v>
      </c>
      <c r="D65" s="34"/>
      <c r="E65" s="3"/>
      <c r="F65" s="3"/>
      <c r="G65" s="3"/>
      <c r="H65" s="3"/>
      <c r="I65" s="14"/>
      <c r="J65" s="24">
        <f t="shared" si="0"/>
        <v>0</v>
      </c>
      <c r="K65" s="5">
        <f>IF($C65=0,入力!$W$27,0)+IF(AND($C65&gt;=0,$C65&lt;=入力!$W$29-1),入力!$W$35,0)+IF($C65&lt;0,VLOOKUP(親1!$C65,入力!$W$11:$Z$16,4,1),0)</f>
        <v>0</v>
      </c>
      <c r="L65" s="3">
        <f>住居計算!D72</f>
        <v>36.293049999999994</v>
      </c>
      <c r="M65" s="3"/>
      <c r="N65" s="3"/>
      <c r="O65" s="3"/>
      <c r="P65" s="3"/>
      <c r="Q65" s="3"/>
      <c r="R65" s="3"/>
      <c r="S65" s="14"/>
      <c r="T65" s="18">
        <f t="shared" si="1"/>
        <v>36.293049999999994</v>
      </c>
      <c r="U65" s="24">
        <f t="shared" si="2"/>
        <v>-36.293049999999994</v>
      </c>
      <c r="V65" s="5"/>
      <c r="W65" s="3"/>
      <c r="X65" s="3"/>
      <c r="Y65" s="3"/>
      <c r="Z65" s="3"/>
      <c r="AA65" s="3"/>
      <c r="AB65" s="14"/>
      <c r="AC65" s="18">
        <f t="shared" si="3"/>
        <v>0</v>
      </c>
      <c r="AD65" s="24">
        <f t="shared" si="4"/>
        <v>-36.293049999999994</v>
      </c>
      <c r="AE65" s="5">
        <f t="shared" si="8"/>
        <v>0</v>
      </c>
      <c r="AF65" s="3">
        <f>IF(C65&lt;0,0,
IF(MOD(C65,MAX(入力!$AI$29,1))=入力!$AI$29-1,入力!$AH$29,0)
+IF(MOD(C65,MAX(入力!$AI$30,1))=入力!$AI$30-1,入力!$AH$30,0)
+IF(MOD(C65,MAX(入力!$AI$31,1))=入力!$AI$31-1,入力!$AH$31,0)
+IF(MOD(C65,MAX(入力!$AI$32,1))=入力!$AI$32-1,入力!$AH$32,0)
+IF(MOD(C65,MAX(入力!$AI$33,1))=入力!$AI$33-1,入力!$AH$33,0)
+IF(MOD(C65,MAX(入力!$AI$34,1))=入力!$AI$34-1,入力!$AH$34,0)
+IF(MOD(C65,MAX(入力!$AI$35,1))=入力!$AI$35-1,入力!$AH$35,0)
+IF(MOD(C65,MAX(入力!$AI$36,1))=入力!$AI$36-1,入力!$AH$36,0)
+IF(MOD(C65,MAX(入力!$AI$37,1))=入力!$AI$37-1,入力!$AH$37,0)
+IF(MOD(C65,MAX(入力!$AI$38,1))=入力!$AI$38-1,入力!$AH$38,0)
)</f>
        <v>0</v>
      </c>
      <c r="AG65" s="3"/>
      <c r="AH65" s="3"/>
      <c r="AI65" s="3"/>
      <c r="AJ65" s="14"/>
      <c r="AK65" s="18">
        <f t="shared" si="9"/>
        <v>0</v>
      </c>
      <c r="AL65" s="24">
        <f t="shared" si="5"/>
        <v>-36.293049999999994</v>
      </c>
      <c r="AM65" s="24">
        <f t="shared" si="6"/>
        <v>-7715.6391072241258</v>
      </c>
    </row>
    <row r="66" spans="2:39" x14ac:dyDescent="0.25">
      <c r="B66" s="5">
        <f t="shared" si="12"/>
        <v>84</v>
      </c>
      <c r="C66" s="3">
        <f t="shared" si="12"/>
        <v>50</v>
      </c>
      <c r="D66" s="34"/>
      <c r="E66" s="3"/>
      <c r="F66" s="3"/>
      <c r="G66" s="3"/>
      <c r="H66" s="3"/>
      <c r="I66" s="14"/>
      <c r="J66" s="24">
        <f t="shared" si="0"/>
        <v>0</v>
      </c>
      <c r="K66" s="5">
        <f>IF($C66=0,入力!$W$27,0)+IF(AND($C66&gt;=0,$C66&lt;=入力!$W$29-1),入力!$W$35,0)+IF($C66&lt;0,VLOOKUP(親1!$C66,入力!$W$11:$Z$16,4,1),0)</f>
        <v>0</v>
      </c>
      <c r="L66" s="3">
        <f>住居計算!D73</f>
        <v>36.293049999999994</v>
      </c>
      <c r="M66" s="3"/>
      <c r="N66" s="3"/>
      <c r="O66" s="3"/>
      <c r="P66" s="3"/>
      <c r="Q66" s="3"/>
      <c r="R66" s="3"/>
      <c r="S66" s="14"/>
      <c r="T66" s="18">
        <f t="shared" si="1"/>
        <v>36.293049999999994</v>
      </c>
      <c r="U66" s="24">
        <f t="shared" si="2"/>
        <v>-36.293049999999994</v>
      </c>
      <c r="V66" s="5"/>
      <c r="W66" s="3"/>
      <c r="X66" s="3"/>
      <c r="Y66" s="3"/>
      <c r="Z66" s="3"/>
      <c r="AA66" s="3"/>
      <c r="AB66" s="14"/>
      <c r="AC66" s="18">
        <f t="shared" si="3"/>
        <v>0</v>
      </c>
      <c r="AD66" s="24">
        <f t="shared" si="4"/>
        <v>-36.293049999999994</v>
      </c>
      <c r="AE66" s="5">
        <f t="shared" si="8"/>
        <v>0</v>
      </c>
      <c r="AF66" s="3">
        <f>IF(C66&lt;0,0,
IF(MOD(C66,MAX(入力!$AI$29,1))=入力!$AI$29-1,入力!$AH$29,0)
+IF(MOD(C66,MAX(入力!$AI$30,1))=入力!$AI$30-1,入力!$AH$30,0)
+IF(MOD(C66,MAX(入力!$AI$31,1))=入力!$AI$31-1,入力!$AH$31,0)
+IF(MOD(C66,MAX(入力!$AI$32,1))=入力!$AI$32-1,入力!$AH$32,0)
+IF(MOD(C66,MAX(入力!$AI$33,1))=入力!$AI$33-1,入力!$AH$33,0)
+IF(MOD(C66,MAX(入力!$AI$34,1))=入力!$AI$34-1,入力!$AH$34,0)
+IF(MOD(C66,MAX(入力!$AI$35,1))=入力!$AI$35-1,入力!$AH$35,0)
+IF(MOD(C66,MAX(入力!$AI$36,1))=入力!$AI$36-1,入力!$AH$36,0)
+IF(MOD(C66,MAX(入力!$AI$37,1))=入力!$AI$37-1,入力!$AH$37,0)
+IF(MOD(C66,MAX(入力!$AI$38,1))=入力!$AI$38-1,入力!$AH$38,0)
)</f>
        <v>0</v>
      </c>
      <c r="AG66" s="3"/>
      <c r="AH66" s="3"/>
      <c r="AI66" s="3"/>
      <c r="AJ66" s="14"/>
      <c r="AK66" s="18">
        <f t="shared" si="9"/>
        <v>0</v>
      </c>
      <c r="AL66" s="24">
        <f t="shared" si="5"/>
        <v>-36.293049999999994</v>
      </c>
      <c r="AM66" s="24">
        <f t="shared" si="6"/>
        <v>-7751.9321572241261</v>
      </c>
    </row>
    <row r="67" spans="2:39" x14ac:dyDescent="0.25">
      <c r="B67" s="5">
        <f t="shared" si="12"/>
        <v>85</v>
      </c>
      <c r="C67" s="3">
        <f t="shared" si="12"/>
        <v>51</v>
      </c>
      <c r="D67" s="34"/>
      <c r="E67" s="3"/>
      <c r="F67" s="3"/>
      <c r="G67" s="3"/>
      <c r="H67" s="3"/>
      <c r="I67" s="14"/>
      <c r="J67" s="24">
        <f t="shared" si="0"/>
        <v>0</v>
      </c>
      <c r="K67" s="5">
        <f>IF($C67=0,入力!$W$27,0)+IF(AND($C67&gt;=0,$C67&lt;=入力!$W$29-1),入力!$W$35,0)+IF($C67&lt;0,VLOOKUP(親1!$C67,入力!$W$11:$Z$16,4,1),0)</f>
        <v>0</v>
      </c>
      <c r="L67" s="3">
        <f>住居計算!D74</f>
        <v>36.293049999999994</v>
      </c>
      <c r="M67" s="3"/>
      <c r="N67" s="3"/>
      <c r="O67" s="3"/>
      <c r="P67" s="3"/>
      <c r="Q67" s="3"/>
      <c r="R67" s="3"/>
      <c r="S67" s="14"/>
      <c r="T67" s="18">
        <f t="shared" si="1"/>
        <v>36.293049999999994</v>
      </c>
      <c r="U67" s="24">
        <f t="shared" si="2"/>
        <v>-36.293049999999994</v>
      </c>
      <c r="V67" s="5"/>
      <c r="W67" s="3"/>
      <c r="X67" s="3"/>
      <c r="Y67" s="3"/>
      <c r="Z67" s="3"/>
      <c r="AA67" s="3"/>
      <c r="AB67" s="14"/>
      <c r="AC67" s="18">
        <f t="shared" si="3"/>
        <v>0</v>
      </c>
      <c r="AD67" s="24">
        <f t="shared" si="4"/>
        <v>-36.293049999999994</v>
      </c>
      <c r="AE67" s="5">
        <f t="shared" si="8"/>
        <v>0</v>
      </c>
      <c r="AF67" s="3">
        <f>IF(C67&lt;0,0,
IF(MOD(C67,MAX(入力!$AI$29,1))=入力!$AI$29-1,入力!$AH$29,0)
+IF(MOD(C67,MAX(入力!$AI$30,1))=入力!$AI$30-1,入力!$AH$30,0)
+IF(MOD(C67,MAX(入力!$AI$31,1))=入力!$AI$31-1,入力!$AH$31,0)
+IF(MOD(C67,MAX(入力!$AI$32,1))=入力!$AI$32-1,入力!$AH$32,0)
+IF(MOD(C67,MAX(入力!$AI$33,1))=入力!$AI$33-1,入力!$AH$33,0)
+IF(MOD(C67,MAX(入力!$AI$34,1))=入力!$AI$34-1,入力!$AH$34,0)
+IF(MOD(C67,MAX(入力!$AI$35,1))=入力!$AI$35-1,入力!$AH$35,0)
+IF(MOD(C67,MAX(入力!$AI$36,1))=入力!$AI$36-1,入力!$AH$36,0)
+IF(MOD(C67,MAX(入力!$AI$37,1))=入力!$AI$37-1,入力!$AH$37,0)
+IF(MOD(C67,MAX(入力!$AI$38,1))=入力!$AI$38-1,入力!$AH$38,0)
)</f>
        <v>0</v>
      </c>
      <c r="AG67" s="3"/>
      <c r="AH67" s="3"/>
      <c r="AI67" s="3"/>
      <c r="AJ67" s="14"/>
      <c r="AK67" s="18">
        <f t="shared" si="9"/>
        <v>0</v>
      </c>
      <c r="AL67" s="24">
        <f t="shared" si="5"/>
        <v>-36.293049999999994</v>
      </c>
      <c r="AM67" s="24">
        <f t="shared" si="6"/>
        <v>-7788.2252072241263</v>
      </c>
    </row>
    <row r="68" spans="2:39" x14ac:dyDescent="0.25">
      <c r="B68" s="5">
        <f t="shared" si="12"/>
        <v>86</v>
      </c>
      <c r="C68" s="3">
        <f t="shared" si="12"/>
        <v>52</v>
      </c>
      <c r="D68" s="34"/>
      <c r="E68" s="3"/>
      <c r="F68" s="3"/>
      <c r="G68" s="3"/>
      <c r="H68" s="3"/>
      <c r="I68" s="14"/>
      <c r="J68" s="24">
        <f t="shared" si="0"/>
        <v>0</v>
      </c>
      <c r="K68" s="5">
        <f>IF($C68=0,入力!$W$27,0)+IF(AND($C68&gt;=0,$C68&lt;=入力!$W$29-1),入力!$W$35,0)+IF($C68&lt;0,VLOOKUP(親1!$C68,入力!$W$11:$Z$16,4,1),0)</f>
        <v>0</v>
      </c>
      <c r="L68" s="3">
        <f>住居計算!D75</f>
        <v>36.293049999999994</v>
      </c>
      <c r="M68" s="3"/>
      <c r="N68" s="3"/>
      <c r="O68" s="3"/>
      <c r="P68" s="3"/>
      <c r="Q68" s="3"/>
      <c r="R68" s="3"/>
      <c r="S68" s="14"/>
      <c r="T68" s="18">
        <f t="shared" si="1"/>
        <v>36.293049999999994</v>
      </c>
      <c r="U68" s="24">
        <f t="shared" si="2"/>
        <v>-36.293049999999994</v>
      </c>
      <c r="V68" s="5"/>
      <c r="W68" s="3"/>
      <c r="X68" s="3"/>
      <c r="Y68" s="3"/>
      <c r="Z68" s="3"/>
      <c r="AA68" s="3"/>
      <c r="AB68" s="14"/>
      <c r="AC68" s="18">
        <f t="shared" si="3"/>
        <v>0</v>
      </c>
      <c r="AD68" s="24">
        <f t="shared" si="4"/>
        <v>-36.293049999999994</v>
      </c>
      <c r="AE68" s="5">
        <f t="shared" si="8"/>
        <v>0</v>
      </c>
      <c r="AF68" s="3">
        <f>IF(C68&lt;0,0,
IF(MOD(C68,MAX(入力!$AI$29,1))=入力!$AI$29-1,入力!$AH$29,0)
+IF(MOD(C68,MAX(入力!$AI$30,1))=入力!$AI$30-1,入力!$AH$30,0)
+IF(MOD(C68,MAX(入力!$AI$31,1))=入力!$AI$31-1,入力!$AH$31,0)
+IF(MOD(C68,MAX(入力!$AI$32,1))=入力!$AI$32-1,入力!$AH$32,0)
+IF(MOD(C68,MAX(入力!$AI$33,1))=入力!$AI$33-1,入力!$AH$33,0)
+IF(MOD(C68,MAX(入力!$AI$34,1))=入力!$AI$34-1,入力!$AH$34,0)
+IF(MOD(C68,MAX(入力!$AI$35,1))=入力!$AI$35-1,入力!$AH$35,0)
+IF(MOD(C68,MAX(入力!$AI$36,1))=入力!$AI$36-1,入力!$AH$36,0)
+IF(MOD(C68,MAX(入力!$AI$37,1))=入力!$AI$37-1,入力!$AH$37,0)
+IF(MOD(C68,MAX(入力!$AI$38,1))=入力!$AI$38-1,入力!$AH$38,0)
)</f>
        <v>0</v>
      </c>
      <c r="AG68" s="3"/>
      <c r="AH68" s="3"/>
      <c r="AI68" s="3"/>
      <c r="AJ68" s="14"/>
      <c r="AK68" s="18">
        <f t="shared" si="9"/>
        <v>0</v>
      </c>
      <c r="AL68" s="24">
        <f t="shared" si="5"/>
        <v>-36.293049999999994</v>
      </c>
      <c r="AM68" s="24">
        <f t="shared" si="6"/>
        <v>-7824.5182572241265</v>
      </c>
    </row>
    <row r="69" spans="2:39" x14ac:dyDescent="0.25">
      <c r="B69" s="5">
        <f t="shared" si="12"/>
        <v>87</v>
      </c>
      <c r="C69" s="3">
        <f t="shared" si="12"/>
        <v>53</v>
      </c>
      <c r="D69" s="34"/>
      <c r="E69" s="3"/>
      <c r="F69" s="3"/>
      <c r="G69" s="3"/>
      <c r="H69" s="3"/>
      <c r="I69" s="14"/>
      <c r="J69" s="24">
        <f t="shared" si="0"/>
        <v>0</v>
      </c>
      <c r="K69" s="5">
        <f>IF($C69=0,入力!$W$27,0)+IF(AND($C69&gt;=0,$C69&lt;=入力!$W$29-1),入力!$W$35,0)+IF($C69&lt;0,VLOOKUP(親1!$C69,入力!$W$11:$Z$16,4,1),0)</f>
        <v>0</v>
      </c>
      <c r="L69" s="3">
        <f>住居計算!D76</f>
        <v>36.293049999999994</v>
      </c>
      <c r="M69" s="3"/>
      <c r="N69" s="3"/>
      <c r="O69" s="3"/>
      <c r="P69" s="3"/>
      <c r="Q69" s="3"/>
      <c r="R69" s="3"/>
      <c r="S69" s="14"/>
      <c r="T69" s="18">
        <f t="shared" si="1"/>
        <v>36.293049999999994</v>
      </c>
      <c r="U69" s="24">
        <f t="shared" si="2"/>
        <v>-36.293049999999994</v>
      </c>
      <c r="V69" s="5"/>
      <c r="W69" s="3"/>
      <c r="X69" s="3"/>
      <c r="Y69" s="3"/>
      <c r="Z69" s="3"/>
      <c r="AA69" s="3"/>
      <c r="AB69" s="3"/>
      <c r="AC69" s="27">
        <f t="shared" si="3"/>
        <v>0</v>
      </c>
      <c r="AD69" s="24">
        <f t="shared" si="4"/>
        <v>-36.293049999999994</v>
      </c>
      <c r="AE69" s="5">
        <f t="shared" si="8"/>
        <v>0</v>
      </c>
      <c r="AF69" s="3">
        <f>IF(C69&lt;0,0,
IF(MOD(C69,MAX(入力!$AI$29,1))=入力!$AI$29-1,入力!$AH$29,0)
+IF(MOD(C69,MAX(入力!$AI$30,1))=入力!$AI$30-1,入力!$AH$30,0)
+IF(MOD(C69,MAX(入力!$AI$31,1))=入力!$AI$31-1,入力!$AH$31,0)
+IF(MOD(C69,MAX(入力!$AI$32,1))=入力!$AI$32-1,入力!$AH$32,0)
+IF(MOD(C69,MAX(入力!$AI$33,1))=入力!$AI$33-1,入力!$AH$33,0)
+IF(MOD(C69,MAX(入力!$AI$34,1))=入力!$AI$34-1,入力!$AH$34,0)
+IF(MOD(C69,MAX(入力!$AI$35,1))=入力!$AI$35-1,入力!$AH$35,0)
+IF(MOD(C69,MAX(入力!$AI$36,1))=入力!$AI$36-1,入力!$AH$36,0)
+IF(MOD(C69,MAX(入力!$AI$37,1))=入力!$AI$37-1,入力!$AH$37,0)
+IF(MOD(C69,MAX(入力!$AI$38,1))=入力!$AI$38-1,入力!$AH$38,0)
)</f>
        <v>0</v>
      </c>
      <c r="AG69" s="3"/>
      <c r="AH69" s="3"/>
      <c r="AI69" s="3"/>
      <c r="AJ69" s="14"/>
      <c r="AK69" s="18">
        <f t="shared" si="9"/>
        <v>0</v>
      </c>
      <c r="AL69" s="24">
        <f t="shared" si="5"/>
        <v>-36.293049999999994</v>
      </c>
      <c r="AM69" s="24">
        <f t="shared" si="6"/>
        <v>-7860.8113072241267</v>
      </c>
    </row>
    <row r="70" spans="2:39" ht="15" thickBot="1" x14ac:dyDescent="0.3">
      <c r="B70" s="5">
        <f t="shared" si="12"/>
        <v>88</v>
      </c>
      <c r="C70" s="3">
        <f t="shared" si="12"/>
        <v>54</v>
      </c>
      <c r="D70" s="34"/>
      <c r="E70" s="3"/>
      <c r="F70" s="3"/>
      <c r="G70" s="3"/>
      <c r="H70" s="3"/>
      <c r="I70" s="14"/>
      <c r="J70" s="24">
        <f t="shared" ref="J70" si="13">SUM(E70:I70)</f>
        <v>0</v>
      </c>
      <c r="K70" s="5">
        <f>IF($C70=0,入力!$W$27,0)+IF(AND($C70&gt;=0,$C70&lt;=入力!$W$29-1),入力!$W$35,0)+IF($C70&lt;0,VLOOKUP(親1!$C70,入力!$W$11:$Z$16,4,1),0)</f>
        <v>0</v>
      </c>
      <c r="L70" s="3">
        <f>住居計算!D77</f>
        <v>36.293049999999994</v>
      </c>
      <c r="M70" s="3"/>
      <c r="N70" s="3"/>
      <c r="O70" s="3"/>
      <c r="P70" s="3"/>
      <c r="Q70" s="3"/>
      <c r="R70" s="3"/>
      <c r="S70" s="14"/>
      <c r="T70" s="18">
        <f t="shared" ref="T70" si="14">SUM(K70:S70)</f>
        <v>36.293049999999994</v>
      </c>
      <c r="U70" s="24">
        <f t="shared" ref="U70" si="15">J70-T70</f>
        <v>-36.293049999999994</v>
      </c>
      <c r="V70" s="5"/>
      <c r="W70" s="3"/>
      <c r="X70" s="3"/>
      <c r="Y70" s="3"/>
      <c r="Z70" s="3"/>
      <c r="AA70" s="3"/>
      <c r="AB70" s="3"/>
      <c r="AC70" s="27">
        <f t="shared" ref="AC70" si="16">SUM(V70:AB70)</f>
        <v>0</v>
      </c>
      <c r="AD70" s="24">
        <f t="shared" ref="AD70" si="17">U70-AC70</f>
        <v>-36.293049999999994</v>
      </c>
      <c r="AE70" s="5">
        <f t="shared" si="8"/>
        <v>0</v>
      </c>
      <c r="AF70" s="3">
        <f>IF(C70&lt;0,0,
IF(MOD(C70,MAX(入力!$AI$29,1))=入力!$AI$29-1,入力!$AH$29,0)
+IF(MOD(C70,MAX(入力!$AI$30,1))=入力!$AI$30-1,入力!$AH$30,0)
+IF(MOD(C70,MAX(入力!$AI$31,1))=入力!$AI$31-1,入力!$AH$31,0)
+IF(MOD(C70,MAX(入力!$AI$32,1))=入力!$AI$32-1,入力!$AH$32,0)
+IF(MOD(C70,MAX(入力!$AI$33,1))=入力!$AI$33-1,入力!$AH$33,0)
+IF(MOD(C70,MAX(入力!$AI$34,1))=入力!$AI$34-1,入力!$AH$34,0)
+IF(MOD(C70,MAX(入力!$AI$35,1))=入力!$AI$35-1,入力!$AH$35,0)
+IF(MOD(C70,MAX(入力!$AI$36,1))=入力!$AI$36-1,入力!$AH$36,0)
+IF(MOD(C70,MAX(入力!$AI$37,1))=入力!$AI$37-1,入力!$AH$37,0)
+IF(MOD(C70,MAX(入力!$AI$38,1))=入力!$AI$38-1,入力!$AH$38,0)
)</f>
        <v>0</v>
      </c>
      <c r="AG70" s="3"/>
      <c r="AH70" s="3"/>
      <c r="AI70" s="3"/>
      <c r="AJ70" s="14"/>
      <c r="AK70" s="18">
        <f t="shared" si="9"/>
        <v>0</v>
      </c>
      <c r="AL70" s="24">
        <f t="shared" ref="AL70" si="18">AD70-AK70</f>
        <v>-36.293049999999994</v>
      </c>
      <c r="AM70" s="25">
        <f t="shared" ref="AM70" si="19">AL70+AM69</f>
        <v>-7897.1043572241269</v>
      </c>
    </row>
    <row r="71" spans="2:39" ht="15" thickTop="1" x14ac:dyDescent="0.25">
      <c r="B71" s="35"/>
      <c r="C71" s="2"/>
      <c r="D71" s="36">
        <f t="shared" ref="D71:Q71" si="20">SUM(D6:D70)</f>
        <v>0</v>
      </c>
      <c r="E71" s="2">
        <f t="shared" si="20"/>
        <v>0</v>
      </c>
      <c r="F71" s="2">
        <f t="shared" si="20"/>
        <v>0</v>
      </c>
      <c r="G71" s="2"/>
      <c r="H71" s="2">
        <f t="shared" si="20"/>
        <v>0</v>
      </c>
      <c r="I71" s="37">
        <f t="shared" si="20"/>
        <v>0</v>
      </c>
      <c r="J71" s="38">
        <f t="shared" si="20"/>
        <v>0</v>
      </c>
      <c r="K71" s="35">
        <f t="shared" si="20"/>
        <v>5181.5997743697453</v>
      </c>
      <c r="L71" s="2">
        <f t="shared" si="20"/>
        <v>1845.5045828543816</v>
      </c>
      <c r="M71" s="2">
        <f t="shared" si="20"/>
        <v>0</v>
      </c>
      <c r="N71" s="2">
        <f t="shared" si="20"/>
        <v>0</v>
      </c>
      <c r="O71" s="2">
        <f t="shared" si="20"/>
        <v>0</v>
      </c>
      <c r="P71" s="2">
        <f t="shared" si="20"/>
        <v>0</v>
      </c>
      <c r="Q71" s="2">
        <f t="shared" si="20"/>
        <v>0</v>
      </c>
      <c r="R71" s="2"/>
      <c r="S71" s="2">
        <f t="shared" ref="S71:AK71" si="21">SUM(S6:S70)</f>
        <v>0</v>
      </c>
      <c r="T71" s="39">
        <f t="shared" si="21"/>
        <v>7027.1043572241269</v>
      </c>
      <c r="U71" s="38">
        <f t="shared" si="21"/>
        <v>-7027.1043572241269</v>
      </c>
      <c r="V71" s="2">
        <f t="shared" si="21"/>
        <v>0</v>
      </c>
      <c r="W71" s="2">
        <f t="shared" si="21"/>
        <v>0</v>
      </c>
      <c r="X71" s="2">
        <f t="shared" si="21"/>
        <v>0</v>
      </c>
      <c r="Y71" s="2">
        <f t="shared" si="21"/>
        <v>0</v>
      </c>
      <c r="Z71" s="2">
        <f t="shared" si="21"/>
        <v>0</v>
      </c>
      <c r="AA71" s="2">
        <f t="shared" si="21"/>
        <v>0</v>
      </c>
      <c r="AB71" s="2">
        <f t="shared" si="21"/>
        <v>0</v>
      </c>
      <c r="AC71" s="39">
        <f t="shared" si="21"/>
        <v>0</v>
      </c>
      <c r="AD71" s="38">
        <f t="shared" si="21"/>
        <v>-7027.1043572241269</v>
      </c>
      <c r="AE71" s="35">
        <f t="shared" si="21"/>
        <v>0</v>
      </c>
      <c r="AF71" s="2">
        <f t="shared" si="21"/>
        <v>870</v>
      </c>
      <c r="AG71" s="2">
        <f t="shared" si="21"/>
        <v>0</v>
      </c>
      <c r="AH71" s="2">
        <f t="shared" si="21"/>
        <v>0</v>
      </c>
      <c r="AI71" s="2">
        <f t="shared" si="21"/>
        <v>0</v>
      </c>
      <c r="AJ71" s="37">
        <f t="shared" si="21"/>
        <v>0</v>
      </c>
      <c r="AK71" s="40">
        <f t="shared" si="21"/>
        <v>870</v>
      </c>
      <c r="AL71" s="38">
        <f>SUM(AL5:AL70)</f>
        <v>-7897.1043572241269</v>
      </c>
      <c r="AM71"/>
    </row>
    <row r="72" spans="2:39" x14ac:dyDescent="0.25">
      <c r="AM72"/>
    </row>
    <row r="73" spans="2:39" x14ac:dyDescent="0.25">
      <c r="AM73"/>
    </row>
    <row r="74" spans="2:39" x14ac:dyDescent="0.25">
      <c r="AM74"/>
    </row>
  </sheetData>
  <phoneticPr fontId="2"/>
  <pageMargins left="0.7" right="0.7" top="0.75" bottom="0.75" header="0.3" footer="0.3"/>
  <pageSetup paperSize="8"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2:AU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AR5" sqref="AR5"/>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4" width="5.125" style="1" bestFit="1" customWidth="1"/>
    <col min="25" max="25" width="6.25" style="1" bestFit="1" customWidth="1"/>
    <col min="26" max="28" width="3.125" style="1" bestFit="1" customWidth="1"/>
    <col min="29" max="29" width="6.875" style="1" bestFit="1" customWidth="1"/>
    <col min="30" max="30" width="9" style="1" bestFit="1" customWidth="1"/>
    <col min="31" max="31" width="7" style="1" customWidth="1"/>
    <col min="32" max="32" width="6.875" style="1" bestFit="1" customWidth="1"/>
    <col min="33" max="33" width="8.75" style="1" bestFit="1" customWidth="1"/>
    <col min="34" max="34" width="6.875" style="1" bestFit="1" customWidth="1"/>
    <col min="35" max="35" width="6.25" style="1" bestFit="1" customWidth="1"/>
    <col min="36" max="36" width="7.25" style="1" customWidth="1"/>
    <col min="37" max="37" width="6.875" style="1" bestFit="1" customWidth="1"/>
    <col min="38" max="38" width="7.625" style="1" bestFit="1" customWidth="1"/>
    <col min="39" max="39" width="8.5" style="1" bestFit="1" customWidth="1"/>
  </cols>
  <sheetData>
    <row r="2" spans="1:47"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1:47"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1:47"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c r="AB4" s="68"/>
      <c r="AC4" s="69"/>
      <c r="AD4" s="65"/>
      <c r="AE4" s="11" t="s">
        <v>162</v>
      </c>
      <c r="AF4" s="12" t="s">
        <v>29</v>
      </c>
      <c r="AG4" s="12" t="s">
        <v>366</v>
      </c>
      <c r="AH4" s="12" t="s">
        <v>31</v>
      </c>
      <c r="AI4" s="12" t="s">
        <v>214</v>
      </c>
      <c r="AJ4" s="13" t="s">
        <v>274</v>
      </c>
      <c r="AK4" s="17" t="s">
        <v>35</v>
      </c>
      <c r="AL4" s="23"/>
      <c r="AM4" s="23"/>
      <c r="AQ4" s="4" t="s">
        <v>593</v>
      </c>
      <c r="AR4" s="4" t="s">
        <v>42</v>
      </c>
      <c r="AS4" s="4" t="s">
        <v>179</v>
      </c>
      <c r="AU4" s="4" t="s">
        <v>594</v>
      </c>
    </row>
    <row r="5" spans="1:47"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1:47" x14ac:dyDescent="0.25">
      <c r="A6">
        <f>-入力!$AD$21</f>
        <v>-3</v>
      </c>
      <c r="B6" s="5">
        <v>19</v>
      </c>
      <c r="C6" s="3">
        <f>親1!$C$6</f>
        <v>24</v>
      </c>
      <c r="D6" s="34"/>
      <c r="E6" s="3"/>
      <c r="F6" s="3"/>
      <c r="G6" s="3"/>
      <c r="H6" s="3"/>
      <c r="I6" s="14"/>
      <c r="J6" s="24">
        <f t="shared" ref="J6:J69" si="0">SUM(E6:I6)</f>
        <v>0</v>
      </c>
      <c r="K6" s="5"/>
      <c r="L6" s="3"/>
      <c r="M6" s="3"/>
      <c r="N6" s="3"/>
      <c r="O6" s="3"/>
      <c r="P6" s="3"/>
      <c r="Q6" s="3"/>
      <c r="R6" s="3"/>
      <c r="S6" s="14"/>
      <c r="T6" s="18">
        <f t="shared" ref="T6:T69" si="1">SUM(K6:S6)</f>
        <v>0</v>
      </c>
      <c r="U6" s="24">
        <f t="shared" ref="U6:U69" si="2">J6-T6</f>
        <v>0</v>
      </c>
      <c r="V6" s="5"/>
      <c r="W6" s="3"/>
      <c r="X6" s="3"/>
      <c r="Y6" s="3"/>
      <c r="Z6" s="3"/>
      <c r="AA6" s="3"/>
      <c r="AB6" s="14"/>
      <c r="AC6" s="18">
        <f t="shared" ref="AC6:AC69" si="3">SUM(V6:AB6)</f>
        <v>0</v>
      </c>
      <c r="AD6" s="24">
        <f t="shared" ref="AD6:AD69" si="4">U6-AC6</f>
        <v>0</v>
      </c>
      <c r="AE6" s="5">
        <f>AE$1</f>
        <v>0</v>
      </c>
      <c r="AF6" s="3"/>
      <c r="AG6" s="3">
        <f>IF(MOD(C6,MAX(入力!$AE$29,1))=入力!$AE$29-1,入力!$AD$29,0)
+IF(MOD(C6,MAX(入力!$AE$30,1))=入力!$AE$30-1,入力!$AD$30,0)
+IF(MOD(C6,MAX(入力!$AE$31,1))=入力!$AE$31-1,入力!$AD$31,0)
+IF(MOD(C6,MAX(入力!$AE$32,1))=入力!$AE$32-1,入力!$AD$32,0)
+IF(MOD(C6,MAX(入力!$AE$33,1))=入力!$AE$33-1,入力!$AD$33,0)
+IF(MOD(C6,MAX(入力!$AE$34,1))=入力!$AE$34-1,入力!$AD$34,0)
+IF(MOD(C6,MAX(入力!$AE$35,1))=入力!$AE$35-1,入力!$AD$35,0)</f>
        <v>3</v>
      </c>
      <c r="AH6" s="3">
        <f>IF(AND($C6&gt;=入力!$AC$24,$C6&lt;=入力!$AD$24,MOD(A6,入力!AG$24)=0),入力!$AL$24,IF(AND($C6&gt;=入力!$AC$25,$C6&lt;=入力!$AD$25,MOD(A6,入力!$AG$25)=0),入力!$AL$25,0))</f>
        <v>0</v>
      </c>
      <c r="AI6" s="3">
        <f>IF(AND($C6&gt;=入力!$AC$24,$C6&lt;=入力!$AD$24),入力!$AF$24/60*12,IF(AND($C6&gt;=入力!$AC$25,$C6&lt;=入力!$AD$25),入力!$AF$25/60*12,0))</f>
        <v>0</v>
      </c>
      <c r="AJ6" s="14">
        <f>AU6</f>
        <v>21.5</v>
      </c>
      <c r="AK6" s="18">
        <f>SUM(AE6:AJ6)</f>
        <v>24.5</v>
      </c>
      <c r="AL6" s="24">
        <f t="shared" ref="AL6:AL69" si="5">AD6-AK6</f>
        <v>-24.5</v>
      </c>
      <c r="AM6" s="24">
        <f t="shared" ref="AM6:AM69" si="6">AL6+AM5</f>
        <v>-24.5</v>
      </c>
      <c r="AP6" t="str">
        <f>住居計算!A13</f>
        <v>賃貸</v>
      </c>
      <c r="AQ6">
        <f>IF(AND($C6&gt;=入力!$AC$24,$C6&lt;=入力!$AD$24),入力!$AH$24/2,IF(AND($C6&gt;=入力!$AC$25,$C6&lt;=入力!$AD$25),入力!$AH$25/2,0))</f>
        <v>5</v>
      </c>
      <c r="AR6">
        <f>IF(AND($C6&gt;=入力!$AC$24,$C6&lt;=入力!$AD$24),入力!$AI$24,IF(AND($C6&gt;=入力!$AC$25,$C6&lt;=入力!$AD$25),入力!$AI$25,0))</f>
        <v>4.5</v>
      </c>
      <c r="AS6">
        <f>IF(AND($C6&gt;=入力!$AC$24,$C6&lt;=入力!$AD$24),入力!$AJ$24*12,IF(AND($C6&gt;=入力!$AC$25,$C6&lt;=入力!$AD$25),入力!$AJ$25*12,0))</f>
        <v>12</v>
      </c>
      <c r="AT6">
        <f>IF(AP6="1戸建て",AQ6+AR6,SUM(AQ6:AS6))</f>
        <v>21.5</v>
      </c>
      <c r="AU6">
        <f>IF(AND($C6&gt;=入力!$AC$24,$C6&lt;=入力!$AD$24,SUM(入力!$AE$24:$AF$24)&gt;0),車_大物家電!AT6,IF(AND($C6&gt;=入力!$AC$25,$C6&lt;=入力!$AD$25,SUM(入力!$AE$25:$AF$25)&gt;0),車_大物家電!AT6,0))</f>
        <v>21.5</v>
      </c>
    </row>
    <row r="7" spans="1:47" x14ac:dyDescent="0.25">
      <c r="A7">
        <f>A6+1</f>
        <v>-2</v>
      </c>
      <c r="B7" s="5">
        <f t="shared" ref="B7:C22" si="7">B6+1</f>
        <v>20</v>
      </c>
      <c r="C7" s="3">
        <f t="shared" si="7"/>
        <v>25</v>
      </c>
      <c r="D7" s="34"/>
      <c r="E7" s="3"/>
      <c r="F7" s="3"/>
      <c r="G7" s="3"/>
      <c r="H7" s="3"/>
      <c r="I7" s="14"/>
      <c r="J7" s="24">
        <f t="shared" si="0"/>
        <v>0</v>
      </c>
      <c r="K7" s="5"/>
      <c r="L7" s="3"/>
      <c r="M7" s="3"/>
      <c r="N7" s="3"/>
      <c r="O7" s="3"/>
      <c r="P7" s="3"/>
      <c r="Q7" s="3"/>
      <c r="R7" s="3"/>
      <c r="S7" s="14"/>
      <c r="T7" s="18">
        <f t="shared" si="1"/>
        <v>0</v>
      </c>
      <c r="U7" s="24">
        <f t="shared" si="2"/>
        <v>0</v>
      </c>
      <c r="V7" s="5"/>
      <c r="W7" s="3"/>
      <c r="X7" s="3"/>
      <c r="Y7" s="3"/>
      <c r="Z7" s="3"/>
      <c r="AA7" s="3"/>
      <c r="AB7" s="14"/>
      <c r="AC7" s="18">
        <f t="shared" si="3"/>
        <v>0</v>
      </c>
      <c r="AD7" s="24">
        <f t="shared" si="4"/>
        <v>0</v>
      </c>
      <c r="AE7" s="5">
        <f t="shared" ref="AE7:AE70" si="8">AE$1</f>
        <v>0</v>
      </c>
      <c r="AF7" s="3"/>
      <c r="AG7" s="3">
        <f>IF(MOD(C7,MAX(入力!$AE$29,1))=入力!$AE$29-1,入力!$AD$29,0)
+IF(MOD(C7,MAX(入力!$AE$30,1))=入力!$AE$30-1,入力!$AD$30,0)
+IF(MOD(C7,MAX(入力!$AE$31,1))=入力!$AE$31-1,入力!$AD$31,0)
+IF(MOD(C7,MAX(入力!$AE$32,1))=入力!$AE$32-1,入力!$AD$32,0)
+IF(MOD(C7,MAX(入力!$AE$33,1))=入力!$AE$33-1,入力!$AD$33,0)
+IF(MOD(C7,MAX(入力!$AE$34,1))=入力!$AE$34-1,入力!$AD$34,0)
+IF(MOD(C7,MAX(入力!$AE$35,1))=入力!$AE$35-1,入力!$AD$35,0)</f>
        <v>0</v>
      </c>
      <c r="AH7" s="3">
        <f>IF(AND($C7&gt;=入力!$AC$24,$C7&lt;=入力!$AD$24,MOD(A7,入力!AG$24)=0),入力!$AL$24,IF(AND($C7&gt;=入力!$AC$25,$C7&lt;=入力!$AD$25,MOD(A7,入力!$AG$25)=0),入力!$AL$25,0))</f>
        <v>0</v>
      </c>
      <c r="AI7" s="3">
        <f>IF(AND($C7&gt;=入力!$AC$24,$C7&lt;=入力!$AD$24),入力!$AF$24/60*12,IF(AND($C7&gt;=入力!$AC$25,$C7&lt;=入力!$AD$25),入力!$AF$25/60*12,0))</f>
        <v>0</v>
      </c>
      <c r="AJ7" s="14">
        <f t="shared" ref="AJ7:AJ70" si="9">AU7</f>
        <v>21.5</v>
      </c>
      <c r="AK7" s="18">
        <f t="shared" ref="AK7:AK70" si="10">SUM(AE7:AJ7)</f>
        <v>21.5</v>
      </c>
      <c r="AL7" s="24">
        <f t="shared" si="5"/>
        <v>-21.5</v>
      </c>
      <c r="AM7" s="24">
        <f t="shared" si="6"/>
        <v>-46</v>
      </c>
      <c r="AP7" t="str">
        <f>住居計算!A14</f>
        <v>賃貸</v>
      </c>
      <c r="AQ7">
        <f>IF(AND($C7&gt;=入力!$AC$24,$C7&lt;=入力!$AD$24),入力!$AH$24/2,IF(AND($C7&gt;=入力!$AC$25,$C7&lt;=入力!$AD$25),入力!$AH$25/2,0))</f>
        <v>5</v>
      </c>
      <c r="AR7">
        <f>IF(AND($C7&gt;=入力!$AC$24,$C7&lt;=入力!$AD$24),入力!$AI$24,IF(AND($C7&gt;=入力!$AC$25,$C7&lt;=入力!$AD$25),入力!$AI$25,0))</f>
        <v>4.5</v>
      </c>
      <c r="AS7">
        <f>IF(AND($C7&gt;=入力!$AC$24,$C7&lt;=入力!$AD$24),入力!$AJ$24*12,IF(AND($C7&gt;=入力!$AC$25,$C7&lt;=入力!$AD$25),入力!$AJ$25*12,0))</f>
        <v>12</v>
      </c>
      <c r="AT7">
        <f t="shared" ref="AT7:AT70" si="11">IF(AP7="1戸建て",AQ7+AR7,SUM(AQ7:AS7))</f>
        <v>21.5</v>
      </c>
      <c r="AU7">
        <f>IF(AND($C7&gt;=入力!$AC$24,$C7&lt;=入力!$AD$24,SUM(入力!$AE$24:$AF$24)&gt;0),車_大物家電!AT7,IF(AND($C7&gt;=入力!$AC$25,$C7&lt;=入力!$AD$25,SUM(入力!$AE$25:$AF$25)&gt;0),車_大物家電!AT7,0))</f>
        <v>21.5</v>
      </c>
    </row>
    <row r="8" spans="1:47" x14ac:dyDescent="0.25">
      <c r="A8">
        <f t="shared" ref="A8:A70" si="12">A7+1</f>
        <v>-1</v>
      </c>
      <c r="B8" s="5">
        <f t="shared" si="7"/>
        <v>21</v>
      </c>
      <c r="C8" s="3">
        <f t="shared" si="7"/>
        <v>26</v>
      </c>
      <c r="D8" s="34"/>
      <c r="E8" s="3"/>
      <c r="F8" s="3"/>
      <c r="G8" s="3"/>
      <c r="H8" s="3"/>
      <c r="I8" s="14"/>
      <c r="J8" s="24">
        <f t="shared" si="0"/>
        <v>0</v>
      </c>
      <c r="K8" s="5"/>
      <c r="L8" s="3"/>
      <c r="M8" s="3"/>
      <c r="N8" s="3"/>
      <c r="O8" s="3"/>
      <c r="P8" s="3"/>
      <c r="Q8" s="3"/>
      <c r="R8" s="3"/>
      <c r="S8" s="14"/>
      <c r="T8" s="18">
        <f t="shared" si="1"/>
        <v>0</v>
      </c>
      <c r="U8" s="24">
        <f t="shared" si="2"/>
        <v>0</v>
      </c>
      <c r="V8" s="5"/>
      <c r="W8" s="3"/>
      <c r="X8" s="3"/>
      <c r="Y8" s="3"/>
      <c r="Z8" s="3"/>
      <c r="AA8" s="3"/>
      <c r="AB8" s="14"/>
      <c r="AC8" s="18">
        <f t="shared" si="3"/>
        <v>0</v>
      </c>
      <c r="AD8" s="24">
        <f t="shared" si="4"/>
        <v>0</v>
      </c>
      <c r="AE8" s="5">
        <f t="shared" si="8"/>
        <v>0</v>
      </c>
      <c r="AF8" s="3"/>
      <c r="AG8" s="3">
        <f>IF(MOD(C8,MAX(入力!$AE$29,1))=入力!$AE$29-1,入力!$AD$29,0)
+IF(MOD(C8,MAX(入力!$AE$30,1))=入力!$AE$30-1,入力!$AD$30,0)
+IF(MOD(C8,MAX(入力!$AE$31,1))=入力!$AE$31-1,入力!$AD$31,0)
+IF(MOD(C8,MAX(入力!$AE$32,1))=入力!$AE$32-1,入力!$AD$32,0)
+IF(MOD(C8,MAX(入力!$AE$33,1))=入力!$AE$33-1,入力!$AD$33,0)
+IF(MOD(C8,MAX(入力!$AE$34,1))=入力!$AE$34-1,入力!$AD$34,0)
+IF(MOD(C8,MAX(入力!$AE$35,1))=入力!$AE$35-1,入力!$AD$35,0)</f>
        <v>0</v>
      </c>
      <c r="AH8" s="3">
        <f>IF(AND($C8&gt;=入力!$AC$24,$C8&lt;=入力!$AD$24,MOD(A8,入力!AG$24)=0),入力!$AL$24,IF(AND($C8&gt;=入力!$AC$25,$C8&lt;=入力!$AD$25,MOD(A8,入力!$AG$25)=0),入力!$AL$25,0))</f>
        <v>0</v>
      </c>
      <c r="AI8" s="3">
        <f>IF(AND($C8&gt;=入力!$AC$24,$C8&lt;=入力!$AD$24),入力!$AF$24/60*12,IF(AND($C8&gt;=入力!$AC$25,$C8&lt;=入力!$AD$25),入力!$AF$25/60*12,0))</f>
        <v>0</v>
      </c>
      <c r="AJ8" s="14">
        <f t="shared" si="9"/>
        <v>21.5</v>
      </c>
      <c r="AK8" s="18">
        <f t="shared" si="10"/>
        <v>21.5</v>
      </c>
      <c r="AL8" s="24">
        <f t="shared" si="5"/>
        <v>-21.5</v>
      </c>
      <c r="AM8" s="24">
        <f t="shared" si="6"/>
        <v>-67.5</v>
      </c>
      <c r="AP8" t="str">
        <f>住居計算!A15</f>
        <v>賃貸</v>
      </c>
      <c r="AQ8">
        <f>IF(AND($C8&gt;=入力!$AC$24,$C8&lt;=入力!$AD$24),入力!$AH$24/2,IF(AND($C8&gt;=入力!$AC$25,$C8&lt;=入力!$AD$25),入力!$AH$25/2,0))</f>
        <v>5</v>
      </c>
      <c r="AR8">
        <f>IF(AND($C8&gt;=入力!$AC$24,$C8&lt;=入力!$AD$24),入力!$AI$24,IF(AND($C8&gt;=入力!$AC$25,$C8&lt;=入力!$AD$25),入力!$AI$25,0))</f>
        <v>4.5</v>
      </c>
      <c r="AS8">
        <f>IF(AND($C8&gt;=入力!$AC$24,$C8&lt;=入力!$AD$24),入力!$AJ$24*12,IF(AND($C8&gt;=入力!$AC$25,$C8&lt;=入力!$AD$25),入力!$AJ$25*12,0))</f>
        <v>12</v>
      </c>
      <c r="AT8">
        <f t="shared" si="11"/>
        <v>21.5</v>
      </c>
      <c r="AU8">
        <f>IF(AND($C8&gt;=入力!$AC$24,$C8&lt;=入力!$AD$24,SUM(入力!$AE$24:$AF$24)&gt;0),車_大物家電!AT8,IF(AND($C8&gt;=入力!$AC$25,$C8&lt;=入力!$AD$25,SUM(入力!$AE$25:$AF$25)&gt;0),車_大物家電!AT8,0))</f>
        <v>21.5</v>
      </c>
    </row>
    <row r="9" spans="1:47" x14ac:dyDescent="0.25">
      <c r="A9">
        <f t="shared" si="12"/>
        <v>0</v>
      </c>
      <c r="B9" s="5">
        <f t="shared" si="7"/>
        <v>22</v>
      </c>
      <c r="C9" s="3">
        <f t="shared" si="7"/>
        <v>27</v>
      </c>
      <c r="D9" s="34"/>
      <c r="E9" s="3"/>
      <c r="F9" s="3"/>
      <c r="G9" s="3"/>
      <c r="H9" s="3"/>
      <c r="I9" s="14"/>
      <c r="J9" s="24">
        <f t="shared" si="0"/>
        <v>0</v>
      </c>
      <c r="K9" s="5"/>
      <c r="L9" s="3"/>
      <c r="M9" s="3"/>
      <c r="N9" s="3"/>
      <c r="O9" s="3"/>
      <c r="P9" s="3"/>
      <c r="Q9" s="3"/>
      <c r="R9" s="3"/>
      <c r="S9" s="14"/>
      <c r="T9" s="18">
        <f t="shared" si="1"/>
        <v>0</v>
      </c>
      <c r="U9" s="24">
        <f t="shared" si="2"/>
        <v>0</v>
      </c>
      <c r="V9" s="5"/>
      <c r="W9" s="3"/>
      <c r="X9" s="3"/>
      <c r="Y9" s="3"/>
      <c r="Z9" s="3"/>
      <c r="AA9" s="3"/>
      <c r="AB9" s="14"/>
      <c r="AC9" s="18">
        <f t="shared" si="3"/>
        <v>0</v>
      </c>
      <c r="AD9" s="24">
        <f t="shared" si="4"/>
        <v>0</v>
      </c>
      <c r="AE9" s="5">
        <f t="shared" si="8"/>
        <v>0</v>
      </c>
      <c r="AF9" s="3"/>
      <c r="AG9" s="3">
        <f>IF(MOD(C9,MAX(入力!$AE$29,1))=入力!$AE$29-1,入力!$AD$29,0)
+IF(MOD(C9,MAX(入力!$AE$30,1))=入力!$AE$30-1,入力!$AD$30,0)
+IF(MOD(C9,MAX(入力!$AE$31,1))=入力!$AE$31-1,入力!$AD$31,0)
+IF(MOD(C9,MAX(入力!$AE$32,1))=入力!$AE$32-1,入力!$AD$32,0)
+IF(MOD(C9,MAX(入力!$AE$33,1))=入力!$AE$33-1,入力!$AD$33,0)
+IF(MOD(C9,MAX(入力!$AE$34,1))=入力!$AE$34-1,入力!$AD$34,0)
+IF(MOD(C9,MAX(入力!$AE$35,1))=入力!$AE$35-1,入力!$AD$35,0)</f>
        <v>0</v>
      </c>
      <c r="AH9" s="3">
        <f>IF(AND($C9&gt;=入力!$AC$24,$C9&lt;=入力!$AD$24,MOD(A9,入力!AG$24)=0),入力!$AL$24,IF(AND($C9&gt;=入力!$AC$25,$C9&lt;=入力!$AD$25,MOD(A9,入力!$AG$25)=0),入力!$AL$25,0))</f>
        <v>300</v>
      </c>
      <c r="AI9" s="3">
        <f>IF(AND($C9&gt;=入力!$AC$24,$C9&lt;=入力!$AD$24),入力!$AF$24/60*12,IF(AND($C9&gt;=入力!$AC$25,$C9&lt;=入力!$AD$25),入力!$AF$25/60*12,0))</f>
        <v>0</v>
      </c>
      <c r="AJ9" s="14">
        <f t="shared" si="9"/>
        <v>21.5</v>
      </c>
      <c r="AK9" s="18">
        <f t="shared" si="10"/>
        <v>321.5</v>
      </c>
      <c r="AL9" s="24">
        <f t="shared" si="5"/>
        <v>-321.5</v>
      </c>
      <c r="AM9" s="24">
        <f t="shared" si="6"/>
        <v>-389</v>
      </c>
      <c r="AP9" t="str">
        <f>住居計算!A16</f>
        <v>賃貸</v>
      </c>
      <c r="AQ9">
        <f>IF(AND($C9&gt;=入力!$AC$24,$C9&lt;=入力!$AD$24),入力!$AH$24/2,IF(AND($C9&gt;=入力!$AC$25,$C9&lt;=入力!$AD$25),入力!$AH$25/2,0))</f>
        <v>5</v>
      </c>
      <c r="AR9">
        <f>IF(AND($C9&gt;=入力!$AC$24,$C9&lt;=入力!$AD$24),入力!$AI$24,IF(AND($C9&gt;=入力!$AC$25,$C9&lt;=入力!$AD$25),入力!$AI$25,0))</f>
        <v>4.5</v>
      </c>
      <c r="AS9">
        <f>IF(AND($C9&gt;=入力!$AC$24,$C9&lt;=入力!$AD$24),入力!$AJ$24*12,IF(AND($C9&gt;=入力!$AC$25,$C9&lt;=入力!$AD$25),入力!$AJ$25*12,0))</f>
        <v>12</v>
      </c>
      <c r="AT9">
        <f t="shared" si="11"/>
        <v>21.5</v>
      </c>
      <c r="AU9">
        <f>IF(AND($C9&gt;=入力!$AC$24,$C9&lt;=入力!$AD$24,SUM(入力!$AE$24:$AF$24)&gt;0),車_大物家電!AT9,IF(AND($C9&gt;=入力!$AC$25,$C9&lt;=入力!$AD$25,SUM(入力!$AE$25:$AF$25)&gt;0),車_大物家電!AT9,0))</f>
        <v>21.5</v>
      </c>
    </row>
    <row r="10" spans="1:47" x14ac:dyDescent="0.25">
      <c r="A10">
        <f t="shared" si="12"/>
        <v>1</v>
      </c>
      <c r="B10" s="5">
        <f t="shared" si="7"/>
        <v>23</v>
      </c>
      <c r="C10" s="3">
        <f t="shared" si="7"/>
        <v>28</v>
      </c>
      <c r="D10" s="34"/>
      <c r="E10" s="3"/>
      <c r="F10" s="3"/>
      <c r="G10" s="3"/>
      <c r="H10" s="3"/>
      <c r="I10" s="14"/>
      <c r="J10" s="24">
        <f t="shared" si="0"/>
        <v>0</v>
      </c>
      <c r="K10" s="5"/>
      <c r="L10" s="3"/>
      <c r="M10" s="3"/>
      <c r="N10" s="3"/>
      <c r="O10" s="3"/>
      <c r="P10" s="3"/>
      <c r="Q10" s="3"/>
      <c r="R10" s="3"/>
      <c r="S10" s="14"/>
      <c r="T10" s="18">
        <f t="shared" si="1"/>
        <v>0</v>
      </c>
      <c r="U10" s="24">
        <f t="shared" si="2"/>
        <v>0</v>
      </c>
      <c r="V10" s="5"/>
      <c r="W10" s="3"/>
      <c r="X10" s="3"/>
      <c r="Y10" s="3"/>
      <c r="Z10" s="3"/>
      <c r="AA10" s="3"/>
      <c r="AB10" s="14"/>
      <c r="AC10" s="18">
        <f t="shared" si="3"/>
        <v>0</v>
      </c>
      <c r="AD10" s="24">
        <f t="shared" si="4"/>
        <v>0</v>
      </c>
      <c r="AE10" s="5">
        <f t="shared" si="8"/>
        <v>0</v>
      </c>
      <c r="AF10" s="3"/>
      <c r="AG10" s="3">
        <f>IF(MOD(C10,MAX(入力!$AE$29,1))=入力!$AE$29-1,入力!$AD$29,0)
+IF(MOD(C10,MAX(入力!$AE$30,1))=入力!$AE$30-1,入力!$AD$30,0)
+IF(MOD(C10,MAX(入力!$AE$31,1))=入力!$AE$31-1,入力!$AD$31,0)
+IF(MOD(C10,MAX(入力!$AE$32,1))=入力!$AE$32-1,入力!$AD$32,0)
+IF(MOD(C10,MAX(入力!$AE$33,1))=入力!$AE$33-1,入力!$AD$33,0)
+IF(MOD(C10,MAX(入力!$AE$34,1))=入力!$AE$34-1,入力!$AD$34,0)
+IF(MOD(C10,MAX(入力!$AE$35,1))=入力!$AE$35-1,入力!$AD$35,0)</f>
        <v>0</v>
      </c>
      <c r="AH10" s="3">
        <f>IF(AND($C10&gt;=入力!$AC$24,$C10&lt;=入力!$AD$24,MOD(A10,入力!AG$24)=0),入力!$AL$24,IF(AND($C10&gt;=入力!$AC$25,$C10&lt;=入力!$AD$25,MOD(A10,入力!$AG$25)=0),入力!$AL$25,0))</f>
        <v>0</v>
      </c>
      <c r="AI10" s="3">
        <f>IF(AND($C10&gt;=入力!$AC$24,$C10&lt;=入力!$AD$24),入力!$AF$24/60*12,IF(AND($C10&gt;=入力!$AC$25,$C10&lt;=入力!$AD$25),入力!$AF$25/60*12,0))</f>
        <v>0</v>
      </c>
      <c r="AJ10" s="14">
        <f t="shared" si="9"/>
        <v>21.5</v>
      </c>
      <c r="AK10" s="18">
        <f t="shared" si="10"/>
        <v>21.5</v>
      </c>
      <c r="AL10" s="24">
        <f t="shared" si="5"/>
        <v>-21.5</v>
      </c>
      <c r="AM10" s="24">
        <f t="shared" si="6"/>
        <v>-410.5</v>
      </c>
      <c r="AP10" t="str">
        <f>住居計算!A17</f>
        <v>賃貸</v>
      </c>
      <c r="AQ10">
        <f>IF(AND($C10&gt;=入力!$AC$24,$C10&lt;=入力!$AD$24),入力!$AH$24/2,IF(AND($C10&gt;=入力!$AC$25,$C10&lt;=入力!$AD$25),入力!$AH$25/2,0))</f>
        <v>5</v>
      </c>
      <c r="AR10">
        <f>IF(AND($C10&gt;=入力!$AC$24,$C10&lt;=入力!$AD$24),入力!$AI$24,IF(AND($C10&gt;=入力!$AC$25,$C10&lt;=入力!$AD$25),入力!$AI$25,0))</f>
        <v>4.5</v>
      </c>
      <c r="AS10">
        <f>IF(AND($C10&gt;=入力!$AC$24,$C10&lt;=入力!$AD$24),入力!$AJ$24*12,IF(AND($C10&gt;=入力!$AC$25,$C10&lt;=入力!$AD$25),入力!$AJ$25*12,0))</f>
        <v>12</v>
      </c>
      <c r="AT10">
        <f t="shared" si="11"/>
        <v>21.5</v>
      </c>
      <c r="AU10">
        <f>IF(AND($C10&gt;=入力!$AC$24,$C10&lt;=入力!$AD$24,SUM(入力!$AE$24:$AF$24)&gt;0),車_大物家電!AT10,IF(AND($C10&gt;=入力!$AC$25,$C10&lt;=入力!$AD$25,SUM(入力!$AE$25:$AF$25)&gt;0),車_大物家電!AT10,0))</f>
        <v>21.5</v>
      </c>
    </row>
    <row r="11" spans="1:47" x14ac:dyDescent="0.25">
      <c r="A11">
        <f t="shared" si="12"/>
        <v>2</v>
      </c>
      <c r="B11" s="5">
        <f t="shared" si="7"/>
        <v>24</v>
      </c>
      <c r="C11" s="3">
        <f t="shared" si="7"/>
        <v>29</v>
      </c>
      <c r="D11" s="34"/>
      <c r="E11" s="3"/>
      <c r="F11" s="3"/>
      <c r="G11" s="3"/>
      <c r="H11" s="3"/>
      <c r="I11" s="14"/>
      <c r="J11" s="24">
        <f t="shared" si="0"/>
        <v>0</v>
      </c>
      <c r="K11" s="5"/>
      <c r="L11" s="3"/>
      <c r="M11" s="3"/>
      <c r="N11" s="3"/>
      <c r="O11" s="3"/>
      <c r="P11" s="3"/>
      <c r="Q11" s="3"/>
      <c r="R11" s="3"/>
      <c r="S11" s="14"/>
      <c r="T11" s="18">
        <f t="shared" si="1"/>
        <v>0</v>
      </c>
      <c r="U11" s="24">
        <f t="shared" si="2"/>
        <v>0</v>
      </c>
      <c r="V11" s="5"/>
      <c r="W11" s="3"/>
      <c r="X11" s="3"/>
      <c r="Y11" s="3"/>
      <c r="Z11" s="3"/>
      <c r="AA11" s="3"/>
      <c r="AB11" s="14"/>
      <c r="AC11" s="18">
        <f t="shared" si="3"/>
        <v>0</v>
      </c>
      <c r="AD11" s="24">
        <f t="shared" si="4"/>
        <v>0</v>
      </c>
      <c r="AE11" s="5">
        <f t="shared" si="8"/>
        <v>0</v>
      </c>
      <c r="AF11" s="3"/>
      <c r="AG11" s="3">
        <f>IF(MOD(C11,MAX(入力!$AE$29,1))=入力!$AE$29-1,入力!$AD$29,0)
+IF(MOD(C11,MAX(入力!$AE$30,1))=入力!$AE$30-1,入力!$AD$30,0)
+IF(MOD(C11,MAX(入力!$AE$31,1))=入力!$AE$31-1,入力!$AD$31,0)
+IF(MOD(C11,MAX(入力!$AE$32,1))=入力!$AE$32-1,入力!$AD$32,0)
+IF(MOD(C11,MAX(入力!$AE$33,1))=入力!$AE$33-1,入力!$AD$33,0)
+IF(MOD(C11,MAX(入力!$AE$34,1))=入力!$AE$34-1,入力!$AD$34,0)
+IF(MOD(C11,MAX(入力!$AE$35,1))=入力!$AE$35-1,入力!$AD$35,0)</f>
        <v>57</v>
      </c>
      <c r="AH11" s="3">
        <f>IF(AND($C11&gt;=入力!$AC$24,$C11&lt;=入力!$AD$24,MOD(A11,入力!AG$24)=0),入力!$AL$24,IF(AND($C11&gt;=入力!$AC$25,$C11&lt;=入力!$AD$25,MOD(A11,入力!$AG$25)=0),入力!$AL$25,0))</f>
        <v>0</v>
      </c>
      <c r="AI11" s="3">
        <f>IF(AND($C11&gt;=入力!$AC$24,$C11&lt;=入力!$AD$24),入力!$AF$24/60*12,IF(AND($C11&gt;=入力!$AC$25,$C11&lt;=入力!$AD$25),入力!$AF$25/60*12,0))</f>
        <v>0</v>
      </c>
      <c r="AJ11" s="14">
        <f t="shared" si="9"/>
        <v>21.5</v>
      </c>
      <c r="AK11" s="18">
        <f t="shared" si="10"/>
        <v>78.5</v>
      </c>
      <c r="AL11" s="24">
        <f t="shared" si="5"/>
        <v>-78.5</v>
      </c>
      <c r="AM11" s="24">
        <f t="shared" si="6"/>
        <v>-489</v>
      </c>
      <c r="AP11" t="str">
        <f>住居計算!A18</f>
        <v>賃貸</v>
      </c>
      <c r="AQ11">
        <f>IF(AND($C11&gt;=入力!$AC$24,$C11&lt;=入力!$AD$24),入力!$AH$24/2,IF(AND($C11&gt;=入力!$AC$25,$C11&lt;=入力!$AD$25),入力!$AH$25/2,0))</f>
        <v>5</v>
      </c>
      <c r="AR11">
        <f>IF(AND($C11&gt;=入力!$AC$24,$C11&lt;=入力!$AD$24),入力!$AI$24,IF(AND($C11&gt;=入力!$AC$25,$C11&lt;=入力!$AD$25),入力!$AI$25,0))</f>
        <v>4.5</v>
      </c>
      <c r="AS11">
        <f>IF(AND($C11&gt;=入力!$AC$24,$C11&lt;=入力!$AD$24),入力!$AJ$24*12,IF(AND($C11&gt;=入力!$AC$25,$C11&lt;=入力!$AD$25),入力!$AJ$25*12,0))</f>
        <v>12</v>
      </c>
      <c r="AT11">
        <f t="shared" si="11"/>
        <v>21.5</v>
      </c>
      <c r="AU11">
        <f>IF(AND($C11&gt;=入力!$AC$24,$C11&lt;=入力!$AD$24,SUM(入力!$AE$24:$AF$24)&gt;0),車_大物家電!AT11,IF(AND($C11&gt;=入力!$AC$25,$C11&lt;=入力!$AD$25,SUM(入力!$AE$25:$AF$25)&gt;0),車_大物家電!AT11,0))</f>
        <v>21.5</v>
      </c>
    </row>
    <row r="12" spans="1:47" x14ac:dyDescent="0.25">
      <c r="A12">
        <f t="shared" si="12"/>
        <v>3</v>
      </c>
      <c r="B12" s="5">
        <f t="shared" si="7"/>
        <v>25</v>
      </c>
      <c r="C12" s="3">
        <f t="shared" si="7"/>
        <v>30</v>
      </c>
      <c r="D12" s="34"/>
      <c r="E12" s="3"/>
      <c r="F12" s="3"/>
      <c r="G12" s="3"/>
      <c r="H12" s="3"/>
      <c r="I12" s="14"/>
      <c r="J12" s="24">
        <f t="shared" si="0"/>
        <v>0</v>
      </c>
      <c r="K12" s="5"/>
      <c r="L12" s="3"/>
      <c r="M12" s="3"/>
      <c r="N12" s="3"/>
      <c r="O12" s="3"/>
      <c r="P12" s="3"/>
      <c r="Q12" s="3"/>
      <c r="R12" s="3"/>
      <c r="S12" s="14"/>
      <c r="T12" s="18">
        <f t="shared" si="1"/>
        <v>0</v>
      </c>
      <c r="U12" s="24">
        <f t="shared" si="2"/>
        <v>0</v>
      </c>
      <c r="V12" s="5"/>
      <c r="W12" s="3"/>
      <c r="X12" s="3"/>
      <c r="Y12" s="3"/>
      <c r="Z12" s="3"/>
      <c r="AA12" s="3"/>
      <c r="AB12" s="14"/>
      <c r="AC12" s="18">
        <f t="shared" si="3"/>
        <v>0</v>
      </c>
      <c r="AD12" s="24">
        <f t="shared" si="4"/>
        <v>0</v>
      </c>
      <c r="AE12" s="5">
        <f t="shared" si="8"/>
        <v>0</v>
      </c>
      <c r="AF12" s="3"/>
      <c r="AG12" s="3">
        <f>IF(MOD(C12,MAX(入力!$AE$29,1))=入力!$AE$29-1,入力!$AD$29,0)
+IF(MOD(C12,MAX(入力!$AE$30,1))=入力!$AE$30-1,入力!$AD$30,0)
+IF(MOD(C12,MAX(入力!$AE$31,1))=入力!$AE$31-1,入力!$AD$31,0)
+IF(MOD(C12,MAX(入力!$AE$32,1))=入力!$AE$32-1,入力!$AD$32,0)
+IF(MOD(C12,MAX(入力!$AE$33,1))=入力!$AE$33-1,入力!$AD$33,0)
+IF(MOD(C12,MAX(入力!$AE$34,1))=入力!$AE$34-1,入力!$AD$34,0)
+IF(MOD(C12,MAX(入力!$AE$35,1))=入力!$AE$35-1,入力!$AD$35,0)</f>
        <v>0</v>
      </c>
      <c r="AH12" s="3">
        <f>IF(AND($C12&gt;=入力!$AC$24,$C12&lt;=入力!$AD$24,MOD(A12,入力!AG$24)=0),入力!$AL$24,IF(AND($C12&gt;=入力!$AC$25,$C12&lt;=入力!$AD$25,MOD(A12,入力!$AG$25)=0),入力!$AL$25,0))</f>
        <v>0</v>
      </c>
      <c r="AI12" s="3">
        <f>IF(AND($C12&gt;=入力!$AC$24,$C12&lt;=入力!$AD$24),入力!$AF$24/60*12,IF(AND($C12&gt;=入力!$AC$25,$C12&lt;=入力!$AD$25),入力!$AF$25/60*12,0))</f>
        <v>0</v>
      </c>
      <c r="AJ12" s="14">
        <f t="shared" si="9"/>
        <v>21.5</v>
      </c>
      <c r="AK12" s="18">
        <f t="shared" si="10"/>
        <v>21.5</v>
      </c>
      <c r="AL12" s="24">
        <f t="shared" si="5"/>
        <v>-21.5</v>
      </c>
      <c r="AM12" s="24">
        <f t="shared" si="6"/>
        <v>-510.5</v>
      </c>
      <c r="AP12" t="str">
        <f>住居計算!A19</f>
        <v>賃貸</v>
      </c>
      <c r="AQ12">
        <f>IF(AND($C12&gt;=入力!$AC$24,$C12&lt;=入力!$AD$24),入力!$AH$24/2,IF(AND($C12&gt;=入力!$AC$25,$C12&lt;=入力!$AD$25),入力!$AH$25/2,0))</f>
        <v>5</v>
      </c>
      <c r="AR12">
        <f>IF(AND($C12&gt;=入力!$AC$24,$C12&lt;=入力!$AD$24),入力!$AI$24,IF(AND($C12&gt;=入力!$AC$25,$C12&lt;=入力!$AD$25),入力!$AI$25,0))</f>
        <v>4.5</v>
      </c>
      <c r="AS12">
        <f>IF(AND($C12&gt;=入力!$AC$24,$C12&lt;=入力!$AD$24),入力!$AJ$24*12,IF(AND($C12&gt;=入力!$AC$25,$C12&lt;=入力!$AD$25),入力!$AJ$25*12,0))</f>
        <v>12</v>
      </c>
      <c r="AT12">
        <f t="shared" si="11"/>
        <v>21.5</v>
      </c>
      <c r="AU12">
        <f>IF(AND($C12&gt;=入力!$AC$24,$C12&lt;=入力!$AD$24,SUM(入力!$AE$24:$AF$24)&gt;0),車_大物家電!AT12,IF(AND($C12&gt;=入力!$AC$25,$C12&lt;=入力!$AD$25,SUM(入力!$AE$25:$AF$25)&gt;0),車_大物家電!AT12,0))</f>
        <v>21.5</v>
      </c>
    </row>
    <row r="13" spans="1:47" x14ac:dyDescent="0.25">
      <c r="A13">
        <f t="shared" si="12"/>
        <v>4</v>
      </c>
      <c r="B13" s="5">
        <f t="shared" si="7"/>
        <v>26</v>
      </c>
      <c r="C13" s="3">
        <f t="shared" si="7"/>
        <v>31</v>
      </c>
      <c r="D13" s="34"/>
      <c r="E13" s="3"/>
      <c r="F13" s="3"/>
      <c r="G13" s="3"/>
      <c r="H13" s="3"/>
      <c r="I13" s="14"/>
      <c r="J13" s="24">
        <f t="shared" si="0"/>
        <v>0</v>
      </c>
      <c r="K13" s="5"/>
      <c r="L13" s="3"/>
      <c r="M13" s="3"/>
      <c r="N13" s="3"/>
      <c r="O13" s="3"/>
      <c r="P13" s="3"/>
      <c r="Q13" s="3"/>
      <c r="R13" s="3"/>
      <c r="S13" s="14"/>
      <c r="T13" s="18">
        <f t="shared" si="1"/>
        <v>0</v>
      </c>
      <c r="U13" s="24">
        <f t="shared" si="2"/>
        <v>0</v>
      </c>
      <c r="V13" s="5"/>
      <c r="W13" s="3"/>
      <c r="X13" s="3"/>
      <c r="Y13" s="3"/>
      <c r="Z13" s="3"/>
      <c r="AA13" s="3"/>
      <c r="AB13" s="14"/>
      <c r="AC13" s="18">
        <f t="shared" si="3"/>
        <v>0</v>
      </c>
      <c r="AD13" s="24">
        <f t="shared" si="4"/>
        <v>0</v>
      </c>
      <c r="AE13" s="5">
        <f t="shared" si="8"/>
        <v>0</v>
      </c>
      <c r="AF13" s="3"/>
      <c r="AG13" s="3">
        <f>IF(MOD(C13,MAX(入力!$AE$29,1))=入力!$AE$29-1,入力!$AD$29,0)
+IF(MOD(C13,MAX(入力!$AE$30,1))=入力!$AE$30-1,入力!$AD$30,0)
+IF(MOD(C13,MAX(入力!$AE$31,1))=入力!$AE$31-1,入力!$AD$31,0)
+IF(MOD(C13,MAX(入力!$AE$32,1))=入力!$AE$32-1,入力!$AD$32,0)
+IF(MOD(C13,MAX(入力!$AE$33,1))=入力!$AE$33-1,入力!$AD$33,0)
+IF(MOD(C13,MAX(入力!$AE$34,1))=入力!$AE$34-1,入力!$AD$34,0)
+IF(MOD(C13,MAX(入力!$AE$35,1))=入力!$AE$35-1,入力!$AD$35,0)</f>
        <v>0</v>
      </c>
      <c r="AH13" s="3">
        <f>IF(AND($C13&gt;=入力!$AC$24,$C13&lt;=入力!$AD$24,MOD(A13,入力!AG$24)=0),入力!$AL$24,IF(AND($C13&gt;=入力!$AC$25,$C13&lt;=入力!$AD$25,MOD(A13,入力!$AG$25)=0),入力!$AL$25,0))</f>
        <v>0</v>
      </c>
      <c r="AI13" s="3">
        <f>IF(AND($C13&gt;=入力!$AC$24,$C13&lt;=入力!$AD$24),入力!$AF$24/60*12,IF(AND($C13&gt;=入力!$AC$25,$C13&lt;=入力!$AD$25),入力!$AF$25/60*12,0))</f>
        <v>0</v>
      </c>
      <c r="AJ13" s="14">
        <f t="shared" si="9"/>
        <v>21.5</v>
      </c>
      <c r="AK13" s="18">
        <f t="shared" si="10"/>
        <v>21.5</v>
      </c>
      <c r="AL13" s="24">
        <f t="shared" si="5"/>
        <v>-21.5</v>
      </c>
      <c r="AM13" s="24">
        <f t="shared" si="6"/>
        <v>-532</v>
      </c>
      <c r="AP13" t="str">
        <f>住居計算!A20</f>
        <v>賃貸</v>
      </c>
      <c r="AQ13">
        <f>IF(AND($C13&gt;=入力!$AC$24,$C13&lt;=入力!$AD$24),入力!$AH$24/2,IF(AND($C13&gt;=入力!$AC$25,$C13&lt;=入力!$AD$25),入力!$AH$25/2,0))</f>
        <v>5</v>
      </c>
      <c r="AR13">
        <f>IF(AND($C13&gt;=入力!$AC$24,$C13&lt;=入力!$AD$24),入力!$AI$24,IF(AND($C13&gt;=入力!$AC$25,$C13&lt;=入力!$AD$25),入力!$AI$25,0))</f>
        <v>4.5</v>
      </c>
      <c r="AS13">
        <f>IF(AND($C13&gt;=入力!$AC$24,$C13&lt;=入力!$AD$24),入力!$AJ$24*12,IF(AND($C13&gt;=入力!$AC$25,$C13&lt;=入力!$AD$25),入力!$AJ$25*12,0))</f>
        <v>12</v>
      </c>
      <c r="AT13">
        <f t="shared" si="11"/>
        <v>21.5</v>
      </c>
      <c r="AU13">
        <f>IF(AND($C13&gt;=入力!$AC$24,$C13&lt;=入力!$AD$24,SUM(入力!$AE$24:$AF$24)&gt;0),車_大物家電!AT13,IF(AND($C13&gt;=入力!$AC$25,$C13&lt;=入力!$AD$25,SUM(入力!$AE$25:$AF$25)&gt;0),車_大物家電!AT13,0))</f>
        <v>21.5</v>
      </c>
    </row>
    <row r="14" spans="1:47" x14ac:dyDescent="0.25">
      <c r="A14">
        <f t="shared" si="12"/>
        <v>5</v>
      </c>
      <c r="B14" s="5">
        <f t="shared" si="7"/>
        <v>27</v>
      </c>
      <c r="C14" s="3">
        <f t="shared" si="7"/>
        <v>32</v>
      </c>
      <c r="D14" s="34"/>
      <c r="E14" s="3"/>
      <c r="F14" s="3"/>
      <c r="G14" s="3"/>
      <c r="H14" s="3"/>
      <c r="I14" s="14"/>
      <c r="J14" s="24">
        <f t="shared" si="0"/>
        <v>0</v>
      </c>
      <c r="K14" s="5"/>
      <c r="L14" s="3"/>
      <c r="M14" s="3"/>
      <c r="N14" s="3"/>
      <c r="O14" s="3"/>
      <c r="P14" s="3"/>
      <c r="Q14" s="3"/>
      <c r="R14" s="3"/>
      <c r="S14" s="14"/>
      <c r="T14" s="18">
        <f t="shared" si="1"/>
        <v>0</v>
      </c>
      <c r="U14" s="24">
        <f t="shared" si="2"/>
        <v>0</v>
      </c>
      <c r="V14" s="5"/>
      <c r="W14" s="3"/>
      <c r="X14" s="3"/>
      <c r="Y14" s="3"/>
      <c r="Z14" s="3"/>
      <c r="AA14" s="3"/>
      <c r="AB14" s="14"/>
      <c r="AC14" s="18">
        <f t="shared" si="3"/>
        <v>0</v>
      </c>
      <c r="AD14" s="24">
        <f t="shared" si="4"/>
        <v>0</v>
      </c>
      <c r="AE14" s="5">
        <f t="shared" si="8"/>
        <v>0</v>
      </c>
      <c r="AF14" s="3"/>
      <c r="AG14" s="3">
        <f>IF(MOD(C14,MAX(入力!$AE$29,1))=入力!$AE$29-1,入力!$AD$29,0)
+IF(MOD(C14,MAX(入力!$AE$30,1))=入力!$AE$30-1,入力!$AD$30,0)
+IF(MOD(C14,MAX(入力!$AE$31,1))=入力!$AE$31-1,入力!$AD$31,0)
+IF(MOD(C14,MAX(入力!$AE$32,1))=入力!$AE$32-1,入力!$AD$32,0)
+IF(MOD(C14,MAX(入力!$AE$33,1))=入力!$AE$33-1,入力!$AD$33,0)
+IF(MOD(C14,MAX(入力!$AE$34,1))=入力!$AE$34-1,入力!$AD$34,0)
+IF(MOD(C14,MAX(入力!$AE$35,1))=入力!$AE$35-1,入力!$AD$35,0)</f>
        <v>0</v>
      </c>
      <c r="AH14" s="3">
        <f>IF(AND($C14&gt;=入力!$AC$24,$C14&lt;=入力!$AD$24,MOD(A14,入力!AG$24)=0),入力!$AL$24,IF(AND($C14&gt;=入力!$AC$25,$C14&lt;=入力!$AD$25,MOD(A14,入力!$AG$25)=0),入力!$AL$25,0))</f>
        <v>0</v>
      </c>
      <c r="AI14" s="3">
        <f>IF(AND($C14&gt;=入力!$AC$24,$C14&lt;=入力!$AD$24),入力!$AF$24/60*12,IF(AND($C14&gt;=入力!$AC$25,$C14&lt;=入力!$AD$25),入力!$AF$25/60*12,0))</f>
        <v>0</v>
      </c>
      <c r="AJ14" s="14">
        <f t="shared" si="9"/>
        <v>21.5</v>
      </c>
      <c r="AK14" s="18">
        <f t="shared" si="10"/>
        <v>21.5</v>
      </c>
      <c r="AL14" s="24">
        <f t="shared" si="5"/>
        <v>-21.5</v>
      </c>
      <c r="AM14" s="24">
        <f t="shared" si="6"/>
        <v>-553.5</v>
      </c>
      <c r="AP14" t="str">
        <f>住居計算!A21</f>
        <v>賃貸</v>
      </c>
      <c r="AQ14">
        <f>IF(AND($C14&gt;=入力!$AC$24,$C14&lt;=入力!$AD$24),入力!$AH$24/2,IF(AND($C14&gt;=入力!$AC$25,$C14&lt;=入力!$AD$25),入力!$AH$25/2,0))</f>
        <v>5</v>
      </c>
      <c r="AR14">
        <f>IF(AND($C14&gt;=入力!$AC$24,$C14&lt;=入力!$AD$24),入力!$AI$24,IF(AND($C14&gt;=入力!$AC$25,$C14&lt;=入力!$AD$25),入力!$AI$25,0))</f>
        <v>4.5</v>
      </c>
      <c r="AS14">
        <f>IF(AND($C14&gt;=入力!$AC$24,$C14&lt;=入力!$AD$24),入力!$AJ$24*12,IF(AND($C14&gt;=入力!$AC$25,$C14&lt;=入力!$AD$25),入力!$AJ$25*12,0))</f>
        <v>12</v>
      </c>
      <c r="AT14">
        <f t="shared" si="11"/>
        <v>21.5</v>
      </c>
      <c r="AU14">
        <f>IF(AND($C14&gt;=入力!$AC$24,$C14&lt;=入力!$AD$24,SUM(入力!$AE$24:$AF$24)&gt;0),車_大物家電!AT14,IF(AND($C14&gt;=入力!$AC$25,$C14&lt;=入力!$AD$25,SUM(入力!$AE$25:$AF$25)&gt;0),車_大物家電!AT14,0))</f>
        <v>21.5</v>
      </c>
    </row>
    <row r="15" spans="1:47" x14ac:dyDescent="0.25">
      <c r="A15">
        <f t="shared" si="12"/>
        <v>6</v>
      </c>
      <c r="B15" s="5">
        <f t="shared" si="7"/>
        <v>28</v>
      </c>
      <c r="C15" s="3">
        <f t="shared" si="7"/>
        <v>33</v>
      </c>
      <c r="D15" s="34"/>
      <c r="E15" s="3"/>
      <c r="F15" s="3"/>
      <c r="G15" s="3"/>
      <c r="H15" s="3"/>
      <c r="I15" s="14"/>
      <c r="J15" s="24">
        <f t="shared" si="0"/>
        <v>0</v>
      </c>
      <c r="K15" s="5"/>
      <c r="L15" s="3"/>
      <c r="M15" s="3"/>
      <c r="N15" s="3"/>
      <c r="O15" s="3"/>
      <c r="P15" s="3"/>
      <c r="Q15" s="3"/>
      <c r="R15" s="3"/>
      <c r="S15" s="14"/>
      <c r="T15" s="18">
        <f t="shared" si="1"/>
        <v>0</v>
      </c>
      <c r="U15" s="24">
        <f t="shared" si="2"/>
        <v>0</v>
      </c>
      <c r="V15" s="5"/>
      <c r="W15" s="3"/>
      <c r="X15" s="3"/>
      <c r="Y15" s="3"/>
      <c r="Z15" s="3"/>
      <c r="AA15" s="3"/>
      <c r="AB15" s="14"/>
      <c r="AC15" s="18">
        <f t="shared" si="3"/>
        <v>0</v>
      </c>
      <c r="AD15" s="24">
        <f t="shared" si="4"/>
        <v>0</v>
      </c>
      <c r="AE15" s="5">
        <f t="shared" si="8"/>
        <v>0</v>
      </c>
      <c r="AF15" s="3"/>
      <c r="AG15" s="3">
        <f>IF(MOD(C15,MAX(入力!$AE$29,1))=入力!$AE$29-1,入力!$AD$29,0)
+IF(MOD(C15,MAX(入力!$AE$30,1))=入力!$AE$30-1,入力!$AD$30,0)
+IF(MOD(C15,MAX(入力!$AE$31,1))=入力!$AE$31-1,入力!$AD$31,0)
+IF(MOD(C15,MAX(入力!$AE$32,1))=入力!$AE$32-1,入力!$AD$32,0)
+IF(MOD(C15,MAX(入力!$AE$33,1))=入力!$AE$33-1,入力!$AD$33,0)
+IF(MOD(C15,MAX(入力!$AE$34,1))=入力!$AE$34-1,入力!$AD$34,0)
+IF(MOD(C15,MAX(入力!$AE$35,1))=入力!$AE$35-1,入力!$AD$35,0)</f>
        <v>0</v>
      </c>
      <c r="AH15" s="3">
        <f>IF(AND($C15&gt;=入力!$AC$24,$C15&lt;=入力!$AD$24,MOD(A15,入力!AG$24)=0),入力!$AL$24,IF(AND($C15&gt;=入力!$AC$25,$C15&lt;=入力!$AD$25,MOD(A15,入力!$AG$25)=0),入力!$AL$25,0))</f>
        <v>0</v>
      </c>
      <c r="AI15" s="3">
        <f>IF(AND($C15&gt;=入力!$AC$24,$C15&lt;=入力!$AD$24),入力!$AF$24/60*12,IF(AND($C15&gt;=入力!$AC$25,$C15&lt;=入力!$AD$25),入力!$AF$25/60*12,0))</f>
        <v>0</v>
      </c>
      <c r="AJ15" s="14">
        <f t="shared" si="9"/>
        <v>21.5</v>
      </c>
      <c r="AK15" s="18">
        <f t="shared" si="10"/>
        <v>21.5</v>
      </c>
      <c r="AL15" s="24">
        <f t="shared" si="5"/>
        <v>-21.5</v>
      </c>
      <c r="AM15" s="24">
        <f t="shared" si="6"/>
        <v>-575</v>
      </c>
      <c r="AP15" t="str">
        <f>住居計算!A22</f>
        <v>賃貸</v>
      </c>
      <c r="AQ15">
        <f>IF(AND($C15&gt;=入力!$AC$24,$C15&lt;=入力!$AD$24),入力!$AH$24/2,IF(AND($C15&gt;=入力!$AC$25,$C15&lt;=入力!$AD$25),入力!$AH$25/2,0))</f>
        <v>5</v>
      </c>
      <c r="AR15">
        <f>IF(AND($C15&gt;=入力!$AC$24,$C15&lt;=入力!$AD$24),入力!$AI$24,IF(AND($C15&gt;=入力!$AC$25,$C15&lt;=入力!$AD$25),入力!$AI$25,0))</f>
        <v>4.5</v>
      </c>
      <c r="AS15">
        <f>IF(AND($C15&gt;=入力!$AC$24,$C15&lt;=入力!$AD$24),入力!$AJ$24*12,IF(AND($C15&gt;=入力!$AC$25,$C15&lt;=入力!$AD$25),入力!$AJ$25*12,0))</f>
        <v>12</v>
      </c>
      <c r="AT15">
        <f t="shared" si="11"/>
        <v>21.5</v>
      </c>
      <c r="AU15">
        <f>IF(AND($C15&gt;=入力!$AC$24,$C15&lt;=入力!$AD$24,SUM(入力!$AE$24:$AF$24)&gt;0),車_大物家電!AT15,IF(AND($C15&gt;=入力!$AC$25,$C15&lt;=入力!$AD$25,SUM(入力!$AE$25:$AF$25)&gt;0),車_大物家電!AT15,0))</f>
        <v>21.5</v>
      </c>
    </row>
    <row r="16" spans="1:47" x14ac:dyDescent="0.25">
      <c r="A16">
        <f t="shared" si="12"/>
        <v>7</v>
      </c>
      <c r="B16" s="5">
        <f t="shared" si="7"/>
        <v>29</v>
      </c>
      <c r="C16" s="3">
        <f t="shared" si="7"/>
        <v>34</v>
      </c>
      <c r="D16" s="34"/>
      <c r="E16" s="3"/>
      <c r="F16" s="3"/>
      <c r="G16" s="3"/>
      <c r="H16" s="3"/>
      <c r="I16" s="14"/>
      <c r="J16" s="24">
        <f t="shared" si="0"/>
        <v>0</v>
      </c>
      <c r="K16" s="5"/>
      <c r="L16" s="3"/>
      <c r="M16" s="3"/>
      <c r="N16" s="3"/>
      <c r="O16" s="3"/>
      <c r="P16" s="3"/>
      <c r="Q16" s="3"/>
      <c r="R16" s="3"/>
      <c r="S16" s="14"/>
      <c r="T16" s="18">
        <f t="shared" si="1"/>
        <v>0</v>
      </c>
      <c r="U16" s="24">
        <f t="shared" si="2"/>
        <v>0</v>
      </c>
      <c r="V16" s="5"/>
      <c r="W16" s="3"/>
      <c r="X16" s="3"/>
      <c r="Y16" s="3"/>
      <c r="Z16" s="3"/>
      <c r="AA16" s="3"/>
      <c r="AB16" s="14"/>
      <c r="AC16" s="18">
        <f t="shared" si="3"/>
        <v>0</v>
      </c>
      <c r="AD16" s="24">
        <f t="shared" si="4"/>
        <v>0</v>
      </c>
      <c r="AE16" s="5">
        <f t="shared" si="8"/>
        <v>0</v>
      </c>
      <c r="AF16" s="3"/>
      <c r="AG16" s="3">
        <f>IF(MOD(C16,MAX(入力!$AE$29,1))=入力!$AE$29-1,入力!$AD$29,0)
+IF(MOD(C16,MAX(入力!$AE$30,1))=入力!$AE$30-1,入力!$AD$30,0)
+IF(MOD(C16,MAX(入力!$AE$31,1))=入力!$AE$31-1,入力!$AD$31,0)
+IF(MOD(C16,MAX(入力!$AE$32,1))=入力!$AE$32-1,入力!$AD$32,0)
+IF(MOD(C16,MAX(入力!$AE$33,1))=入力!$AE$33-1,入力!$AD$33,0)
+IF(MOD(C16,MAX(入力!$AE$34,1))=入力!$AE$34-1,入力!$AD$34,0)
+IF(MOD(C16,MAX(入力!$AE$35,1))=入力!$AE$35-1,入力!$AD$35,0)</f>
        <v>3</v>
      </c>
      <c r="AH16" s="3">
        <f>IF(AND($C16&gt;=入力!$AC$24,$C16&lt;=入力!$AD$24,MOD(A16,入力!AG$24)=0),入力!$AL$24,IF(AND($C16&gt;=入力!$AC$25,$C16&lt;=入力!$AD$25,MOD(A16,入力!$AG$25)=0),入力!$AL$25,0))</f>
        <v>300</v>
      </c>
      <c r="AI16" s="3">
        <f>IF(AND($C16&gt;=入力!$AC$24,$C16&lt;=入力!$AD$24),入力!$AF$24/60*12,IF(AND($C16&gt;=入力!$AC$25,$C16&lt;=入力!$AD$25),入力!$AF$25/60*12,0))</f>
        <v>0</v>
      </c>
      <c r="AJ16" s="14">
        <f t="shared" si="9"/>
        <v>21.5</v>
      </c>
      <c r="AK16" s="18">
        <f t="shared" si="10"/>
        <v>324.5</v>
      </c>
      <c r="AL16" s="24">
        <f t="shared" si="5"/>
        <v>-324.5</v>
      </c>
      <c r="AM16" s="24">
        <f t="shared" si="6"/>
        <v>-899.5</v>
      </c>
      <c r="AP16" t="str">
        <f>住居計算!A23</f>
        <v>マンション</v>
      </c>
      <c r="AQ16">
        <f>IF(AND($C16&gt;=入力!$AC$24,$C16&lt;=入力!$AD$24),入力!$AH$24/2,IF(AND($C16&gt;=入力!$AC$25,$C16&lt;=入力!$AD$25),入力!$AH$25/2,0))</f>
        <v>5</v>
      </c>
      <c r="AR16">
        <f>IF(AND($C16&gt;=入力!$AC$24,$C16&lt;=入力!$AD$24),入力!$AI$24,IF(AND($C16&gt;=入力!$AC$25,$C16&lt;=入力!$AD$25),入力!$AI$25,0))</f>
        <v>4.5</v>
      </c>
      <c r="AS16">
        <f>IF(AND($C16&gt;=入力!$AC$24,$C16&lt;=入力!$AD$24),入力!$AJ$24*12,IF(AND($C16&gt;=入力!$AC$25,$C16&lt;=入力!$AD$25),入力!$AJ$25*12,0))</f>
        <v>12</v>
      </c>
      <c r="AT16">
        <f t="shared" si="11"/>
        <v>21.5</v>
      </c>
      <c r="AU16">
        <f>IF(AND($C16&gt;=入力!$AC$24,$C16&lt;=入力!$AD$24,SUM(入力!$AE$24:$AF$24)&gt;0),車_大物家電!AT16,IF(AND($C16&gt;=入力!$AC$25,$C16&lt;=入力!$AD$25,SUM(入力!$AE$25:$AF$25)&gt;0),車_大物家電!AT16,0))</f>
        <v>21.5</v>
      </c>
    </row>
    <row r="17" spans="1:47" x14ac:dyDescent="0.25">
      <c r="A17">
        <f t="shared" si="12"/>
        <v>8</v>
      </c>
      <c r="B17" s="5">
        <f t="shared" si="7"/>
        <v>30</v>
      </c>
      <c r="C17" s="3">
        <f t="shared" si="7"/>
        <v>35</v>
      </c>
      <c r="D17" s="34"/>
      <c r="E17" s="3"/>
      <c r="F17" s="3"/>
      <c r="G17" s="3"/>
      <c r="H17" s="3"/>
      <c r="I17" s="14"/>
      <c r="J17" s="24">
        <f t="shared" si="0"/>
        <v>0</v>
      </c>
      <c r="K17" s="5"/>
      <c r="L17" s="3"/>
      <c r="M17" s="3"/>
      <c r="N17" s="3"/>
      <c r="O17" s="3"/>
      <c r="P17" s="3"/>
      <c r="Q17" s="3"/>
      <c r="R17" s="3"/>
      <c r="S17" s="14"/>
      <c r="T17" s="18">
        <f t="shared" si="1"/>
        <v>0</v>
      </c>
      <c r="U17" s="24">
        <f t="shared" si="2"/>
        <v>0</v>
      </c>
      <c r="V17" s="5"/>
      <c r="W17" s="3"/>
      <c r="X17" s="3"/>
      <c r="Y17" s="3"/>
      <c r="Z17" s="3"/>
      <c r="AA17" s="3"/>
      <c r="AB17" s="14"/>
      <c r="AC17" s="18">
        <f t="shared" si="3"/>
        <v>0</v>
      </c>
      <c r="AD17" s="24">
        <f t="shared" si="4"/>
        <v>0</v>
      </c>
      <c r="AE17" s="5">
        <f t="shared" si="8"/>
        <v>0</v>
      </c>
      <c r="AF17" s="3"/>
      <c r="AG17" s="3">
        <f>IF(MOD(C17,MAX(入力!$AE$29,1))=入力!$AE$29-1,入力!$AD$29,0)
+IF(MOD(C17,MAX(入力!$AE$30,1))=入力!$AE$30-1,入力!$AD$30,0)
+IF(MOD(C17,MAX(入力!$AE$31,1))=入力!$AE$31-1,入力!$AD$31,0)
+IF(MOD(C17,MAX(入力!$AE$32,1))=入力!$AE$32-1,入力!$AD$32,0)
+IF(MOD(C17,MAX(入力!$AE$33,1))=入力!$AE$33-1,入力!$AD$33,0)
+IF(MOD(C17,MAX(入力!$AE$34,1))=入力!$AE$34-1,入力!$AD$34,0)
+IF(MOD(C17,MAX(入力!$AE$35,1))=入力!$AE$35-1,入力!$AD$35,0)</f>
        <v>0</v>
      </c>
      <c r="AH17" s="3">
        <f>IF(AND($C17&gt;=入力!$AC$24,$C17&lt;=入力!$AD$24,MOD(A17,入力!AG$24)=0),入力!$AL$24,IF(AND($C17&gt;=入力!$AC$25,$C17&lt;=入力!$AD$25,MOD(A17,入力!$AG$25)=0),入力!$AL$25,0))</f>
        <v>0</v>
      </c>
      <c r="AI17" s="3">
        <f>IF(AND($C17&gt;=入力!$AC$24,$C17&lt;=入力!$AD$24),入力!$AF$24/60*12,IF(AND($C17&gt;=入力!$AC$25,$C17&lt;=入力!$AD$25),入力!$AF$25/60*12,0))</f>
        <v>0</v>
      </c>
      <c r="AJ17" s="14">
        <f t="shared" si="9"/>
        <v>21.5</v>
      </c>
      <c r="AK17" s="18">
        <f t="shared" si="10"/>
        <v>21.5</v>
      </c>
      <c r="AL17" s="24">
        <f t="shared" si="5"/>
        <v>-21.5</v>
      </c>
      <c r="AM17" s="24">
        <f t="shared" si="6"/>
        <v>-921</v>
      </c>
      <c r="AP17" t="str">
        <f>住居計算!A24</f>
        <v>マンション</v>
      </c>
      <c r="AQ17">
        <f>IF(AND($C17&gt;=入力!$AC$24,$C17&lt;=入力!$AD$24),入力!$AH$24/2,IF(AND($C17&gt;=入力!$AC$25,$C17&lt;=入力!$AD$25),入力!$AH$25/2,0))</f>
        <v>5</v>
      </c>
      <c r="AR17">
        <f>IF(AND($C17&gt;=入力!$AC$24,$C17&lt;=入力!$AD$24),入力!$AI$24,IF(AND($C17&gt;=入力!$AC$25,$C17&lt;=入力!$AD$25),入力!$AI$25,0))</f>
        <v>4.5</v>
      </c>
      <c r="AS17">
        <f>IF(AND($C17&gt;=入力!$AC$24,$C17&lt;=入力!$AD$24),入力!$AJ$24*12,IF(AND($C17&gt;=入力!$AC$25,$C17&lt;=入力!$AD$25),入力!$AJ$25*12,0))</f>
        <v>12</v>
      </c>
      <c r="AT17">
        <f t="shared" si="11"/>
        <v>21.5</v>
      </c>
      <c r="AU17">
        <f>IF(AND($C17&gt;=入力!$AC$24,$C17&lt;=入力!$AD$24,SUM(入力!$AE$24:$AF$24)&gt;0),車_大物家電!AT17,IF(AND($C17&gt;=入力!$AC$25,$C17&lt;=入力!$AD$25,SUM(入力!$AE$25:$AF$25)&gt;0),車_大物家電!AT17,0))</f>
        <v>21.5</v>
      </c>
    </row>
    <row r="18" spans="1:47" x14ac:dyDescent="0.25">
      <c r="A18">
        <f t="shared" si="12"/>
        <v>9</v>
      </c>
      <c r="B18" s="5">
        <f t="shared" si="7"/>
        <v>31</v>
      </c>
      <c r="C18" s="3">
        <f t="shared" si="7"/>
        <v>36</v>
      </c>
      <c r="D18" s="34"/>
      <c r="E18" s="3"/>
      <c r="F18" s="3"/>
      <c r="G18" s="3"/>
      <c r="H18" s="3"/>
      <c r="I18" s="14"/>
      <c r="J18" s="24">
        <f t="shared" si="0"/>
        <v>0</v>
      </c>
      <c r="K18" s="5"/>
      <c r="L18" s="3"/>
      <c r="M18" s="3"/>
      <c r="N18" s="3"/>
      <c r="O18" s="3"/>
      <c r="P18" s="3"/>
      <c r="Q18" s="3"/>
      <c r="R18" s="3"/>
      <c r="S18" s="14"/>
      <c r="T18" s="18">
        <f t="shared" si="1"/>
        <v>0</v>
      </c>
      <c r="U18" s="24">
        <f t="shared" si="2"/>
        <v>0</v>
      </c>
      <c r="V18" s="5"/>
      <c r="W18" s="3"/>
      <c r="X18" s="3"/>
      <c r="Y18" s="3"/>
      <c r="Z18" s="3"/>
      <c r="AA18" s="3"/>
      <c r="AB18" s="14"/>
      <c r="AC18" s="18">
        <f t="shared" si="3"/>
        <v>0</v>
      </c>
      <c r="AD18" s="24">
        <f t="shared" si="4"/>
        <v>0</v>
      </c>
      <c r="AE18" s="5">
        <f t="shared" si="8"/>
        <v>0</v>
      </c>
      <c r="AF18" s="3"/>
      <c r="AG18" s="3">
        <f>IF(MOD(C18,MAX(入力!$AE$29,1))=入力!$AE$29-1,入力!$AD$29,0)
+IF(MOD(C18,MAX(入力!$AE$30,1))=入力!$AE$30-1,入力!$AD$30,0)
+IF(MOD(C18,MAX(入力!$AE$31,1))=入力!$AE$31-1,入力!$AD$31,0)
+IF(MOD(C18,MAX(入力!$AE$32,1))=入力!$AE$32-1,入力!$AD$32,0)
+IF(MOD(C18,MAX(入力!$AE$33,1))=入力!$AE$33-1,入力!$AD$33,0)
+IF(MOD(C18,MAX(入力!$AE$34,1))=入力!$AE$34-1,入力!$AD$34,0)
+IF(MOD(C18,MAX(入力!$AE$35,1))=入力!$AE$35-1,入力!$AD$35,0)</f>
        <v>0</v>
      </c>
      <c r="AH18" s="3">
        <f>IF(AND($C18&gt;=入力!$AC$24,$C18&lt;=入力!$AD$24,MOD(A18,入力!AG$24)=0),入力!$AL$24,IF(AND($C18&gt;=入力!$AC$25,$C18&lt;=入力!$AD$25,MOD(A18,入力!$AG$25)=0),入力!$AL$25,0))</f>
        <v>0</v>
      </c>
      <c r="AI18" s="3">
        <f>IF(AND($C18&gt;=入力!$AC$24,$C18&lt;=入力!$AD$24),入力!$AF$24/60*12,IF(AND($C18&gt;=入力!$AC$25,$C18&lt;=入力!$AD$25),入力!$AF$25/60*12,0))</f>
        <v>0</v>
      </c>
      <c r="AJ18" s="14">
        <f t="shared" si="9"/>
        <v>21.5</v>
      </c>
      <c r="AK18" s="18">
        <f t="shared" si="10"/>
        <v>21.5</v>
      </c>
      <c r="AL18" s="24">
        <f t="shared" si="5"/>
        <v>-21.5</v>
      </c>
      <c r="AM18" s="24">
        <f t="shared" si="6"/>
        <v>-942.5</v>
      </c>
      <c r="AP18" t="str">
        <f>住居計算!A25</f>
        <v>マンション</v>
      </c>
      <c r="AQ18">
        <f>IF(AND($C18&gt;=入力!$AC$24,$C18&lt;=入力!$AD$24),入力!$AH$24/2,IF(AND($C18&gt;=入力!$AC$25,$C18&lt;=入力!$AD$25),入力!$AH$25/2,0))</f>
        <v>5</v>
      </c>
      <c r="AR18">
        <f>IF(AND($C18&gt;=入力!$AC$24,$C18&lt;=入力!$AD$24),入力!$AI$24,IF(AND($C18&gt;=入力!$AC$25,$C18&lt;=入力!$AD$25),入力!$AI$25,0))</f>
        <v>4.5</v>
      </c>
      <c r="AS18">
        <f>IF(AND($C18&gt;=入力!$AC$24,$C18&lt;=入力!$AD$24),入力!$AJ$24*12,IF(AND($C18&gt;=入力!$AC$25,$C18&lt;=入力!$AD$25),入力!$AJ$25*12,0))</f>
        <v>12</v>
      </c>
      <c r="AT18">
        <f t="shared" si="11"/>
        <v>21.5</v>
      </c>
      <c r="AU18">
        <f>IF(AND($C18&gt;=入力!$AC$24,$C18&lt;=入力!$AD$24,SUM(入力!$AE$24:$AF$24)&gt;0),車_大物家電!AT18,IF(AND($C18&gt;=入力!$AC$25,$C18&lt;=入力!$AD$25,SUM(入力!$AE$25:$AF$25)&gt;0),車_大物家電!AT18,0))</f>
        <v>21.5</v>
      </c>
    </row>
    <row r="19" spans="1:47" x14ac:dyDescent="0.25">
      <c r="A19">
        <f t="shared" si="12"/>
        <v>10</v>
      </c>
      <c r="B19" s="5">
        <f t="shared" si="7"/>
        <v>32</v>
      </c>
      <c r="C19" s="3">
        <f t="shared" si="7"/>
        <v>37</v>
      </c>
      <c r="D19" s="34"/>
      <c r="E19" s="3"/>
      <c r="F19" s="3"/>
      <c r="G19" s="3"/>
      <c r="H19" s="3"/>
      <c r="I19" s="14"/>
      <c r="J19" s="24">
        <f t="shared" si="0"/>
        <v>0</v>
      </c>
      <c r="K19" s="5"/>
      <c r="L19" s="3"/>
      <c r="M19" s="3"/>
      <c r="N19" s="3"/>
      <c r="O19" s="3"/>
      <c r="P19" s="3"/>
      <c r="Q19" s="3"/>
      <c r="R19" s="3"/>
      <c r="S19" s="14"/>
      <c r="T19" s="18">
        <f t="shared" si="1"/>
        <v>0</v>
      </c>
      <c r="U19" s="24">
        <f t="shared" si="2"/>
        <v>0</v>
      </c>
      <c r="V19" s="5"/>
      <c r="W19" s="3"/>
      <c r="X19" s="3"/>
      <c r="Y19" s="3"/>
      <c r="Z19" s="3"/>
      <c r="AA19" s="3"/>
      <c r="AB19" s="14"/>
      <c r="AC19" s="18">
        <f t="shared" si="3"/>
        <v>0</v>
      </c>
      <c r="AD19" s="24">
        <f t="shared" si="4"/>
        <v>0</v>
      </c>
      <c r="AE19" s="5">
        <f t="shared" si="8"/>
        <v>0</v>
      </c>
      <c r="AF19" s="3"/>
      <c r="AG19" s="3">
        <f>IF(MOD(C19,MAX(入力!$AE$29,1))=入力!$AE$29-1,入力!$AD$29,0)
+IF(MOD(C19,MAX(入力!$AE$30,1))=入力!$AE$30-1,入力!$AD$30,0)
+IF(MOD(C19,MAX(入力!$AE$31,1))=入力!$AE$31-1,入力!$AD$31,0)
+IF(MOD(C19,MAX(入力!$AE$32,1))=入力!$AE$32-1,入力!$AD$32,0)
+IF(MOD(C19,MAX(入力!$AE$33,1))=入力!$AE$33-1,入力!$AD$33,0)
+IF(MOD(C19,MAX(入力!$AE$34,1))=入力!$AE$34-1,入力!$AD$34,0)
+IF(MOD(C19,MAX(入力!$AE$35,1))=入力!$AE$35-1,入力!$AD$35,0)</f>
        <v>0</v>
      </c>
      <c r="AH19" s="3">
        <f>IF(AND($C19&gt;=入力!$AC$24,$C19&lt;=入力!$AD$24,MOD(A19,入力!AG$24)=0),入力!$AL$24,IF(AND($C19&gt;=入力!$AC$25,$C19&lt;=入力!$AD$25,MOD(A19,入力!$AG$25)=0),入力!$AL$25,0))</f>
        <v>0</v>
      </c>
      <c r="AI19" s="3">
        <f>IF(AND($C19&gt;=入力!$AC$24,$C19&lt;=入力!$AD$24),入力!$AF$24/60*12,IF(AND($C19&gt;=入力!$AC$25,$C19&lt;=入力!$AD$25),入力!$AF$25/60*12,0))</f>
        <v>0</v>
      </c>
      <c r="AJ19" s="14">
        <f t="shared" si="9"/>
        <v>21.5</v>
      </c>
      <c r="AK19" s="18">
        <f t="shared" si="10"/>
        <v>21.5</v>
      </c>
      <c r="AL19" s="24">
        <f t="shared" si="5"/>
        <v>-21.5</v>
      </c>
      <c r="AM19" s="24">
        <f t="shared" si="6"/>
        <v>-964</v>
      </c>
      <c r="AP19" t="str">
        <f>住居計算!A26</f>
        <v>マンション</v>
      </c>
      <c r="AQ19">
        <f>IF(AND($C19&gt;=入力!$AC$24,$C19&lt;=入力!$AD$24),入力!$AH$24/2,IF(AND($C19&gt;=入力!$AC$25,$C19&lt;=入力!$AD$25),入力!$AH$25/2,0))</f>
        <v>5</v>
      </c>
      <c r="AR19">
        <f>IF(AND($C19&gt;=入力!$AC$24,$C19&lt;=入力!$AD$24),入力!$AI$24,IF(AND($C19&gt;=入力!$AC$25,$C19&lt;=入力!$AD$25),入力!$AI$25,0))</f>
        <v>4.5</v>
      </c>
      <c r="AS19">
        <f>IF(AND($C19&gt;=入力!$AC$24,$C19&lt;=入力!$AD$24),入力!$AJ$24*12,IF(AND($C19&gt;=入力!$AC$25,$C19&lt;=入力!$AD$25),入力!$AJ$25*12,0))</f>
        <v>12</v>
      </c>
      <c r="AT19">
        <f t="shared" si="11"/>
        <v>21.5</v>
      </c>
      <c r="AU19">
        <f>IF(AND($C19&gt;=入力!$AC$24,$C19&lt;=入力!$AD$24,SUM(入力!$AE$24:$AF$24)&gt;0),車_大物家電!AT19,IF(AND($C19&gt;=入力!$AC$25,$C19&lt;=入力!$AD$25,SUM(入力!$AE$25:$AF$25)&gt;0),車_大物家電!AT19,0))</f>
        <v>21.5</v>
      </c>
    </row>
    <row r="20" spans="1:47" x14ac:dyDescent="0.25">
      <c r="A20">
        <f t="shared" si="12"/>
        <v>11</v>
      </c>
      <c r="B20" s="5">
        <f t="shared" si="7"/>
        <v>33</v>
      </c>
      <c r="C20" s="3">
        <f t="shared" si="7"/>
        <v>38</v>
      </c>
      <c r="D20" s="34"/>
      <c r="E20" s="3"/>
      <c r="F20" s="3"/>
      <c r="G20" s="3"/>
      <c r="H20" s="3"/>
      <c r="I20" s="14"/>
      <c r="J20" s="24">
        <f t="shared" si="0"/>
        <v>0</v>
      </c>
      <c r="K20" s="5"/>
      <c r="L20" s="3"/>
      <c r="M20" s="3"/>
      <c r="N20" s="3"/>
      <c r="O20" s="3"/>
      <c r="P20" s="3"/>
      <c r="Q20" s="3"/>
      <c r="R20" s="3"/>
      <c r="S20" s="14"/>
      <c r="T20" s="18">
        <f t="shared" si="1"/>
        <v>0</v>
      </c>
      <c r="U20" s="24">
        <f t="shared" si="2"/>
        <v>0</v>
      </c>
      <c r="V20" s="5"/>
      <c r="W20" s="3"/>
      <c r="X20" s="3"/>
      <c r="Y20" s="3"/>
      <c r="Z20" s="3"/>
      <c r="AA20" s="3"/>
      <c r="AB20" s="14"/>
      <c r="AC20" s="18">
        <f t="shared" si="3"/>
        <v>0</v>
      </c>
      <c r="AD20" s="24">
        <f t="shared" si="4"/>
        <v>0</v>
      </c>
      <c r="AE20" s="5">
        <f t="shared" si="8"/>
        <v>0</v>
      </c>
      <c r="AF20" s="3"/>
      <c r="AG20" s="3">
        <f>IF(MOD(C20,MAX(入力!$AE$29,1))=入力!$AE$29-1,入力!$AD$29,0)
+IF(MOD(C20,MAX(入力!$AE$30,1))=入力!$AE$30-1,入力!$AD$30,0)
+IF(MOD(C20,MAX(入力!$AE$31,1))=入力!$AE$31-1,入力!$AD$31,0)
+IF(MOD(C20,MAX(入力!$AE$32,1))=入力!$AE$32-1,入力!$AD$32,0)
+IF(MOD(C20,MAX(入力!$AE$33,1))=入力!$AE$33-1,入力!$AD$33,0)
+IF(MOD(C20,MAX(入力!$AE$34,1))=入力!$AE$34-1,入力!$AD$34,0)
+IF(MOD(C20,MAX(入力!$AE$35,1))=入力!$AE$35-1,入力!$AD$35,0)</f>
        <v>0</v>
      </c>
      <c r="AH20" s="3">
        <f>IF(AND($C20&gt;=入力!$AC$24,$C20&lt;=入力!$AD$24,MOD(A20,入力!AG$24)=0),入力!$AL$24,IF(AND($C20&gt;=入力!$AC$25,$C20&lt;=入力!$AD$25,MOD(A20,入力!$AG$25)=0),入力!$AL$25,0))</f>
        <v>0</v>
      </c>
      <c r="AI20" s="3">
        <f>IF(AND($C20&gt;=入力!$AC$24,$C20&lt;=入力!$AD$24),入力!$AF$24/60*12,IF(AND($C20&gt;=入力!$AC$25,$C20&lt;=入力!$AD$25),入力!$AF$25/60*12,0))</f>
        <v>0</v>
      </c>
      <c r="AJ20" s="14">
        <f t="shared" si="9"/>
        <v>21.5</v>
      </c>
      <c r="AK20" s="18">
        <f t="shared" si="10"/>
        <v>21.5</v>
      </c>
      <c r="AL20" s="24">
        <f t="shared" si="5"/>
        <v>-21.5</v>
      </c>
      <c r="AM20" s="24">
        <f t="shared" si="6"/>
        <v>-985.5</v>
      </c>
      <c r="AP20" t="str">
        <f>住居計算!A27</f>
        <v>マンション</v>
      </c>
      <c r="AQ20">
        <f>IF(AND($C20&gt;=入力!$AC$24,$C20&lt;=入力!$AD$24),入力!$AH$24/2,IF(AND($C20&gt;=入力!$AC$25,$C20&lt;=入力!$AD$25),入力!$AH$25/2,0))</f>
        <v>5</v>
      </c>
      <c r="AR20">
        <f>IF(AND($C20&gt;=入力!$AC$24,$C20&lt;=入力!$AD$24),入力!$AI$24,IF(AND($C20&gt;=入力!$AC$25,$C20&lt;=入力!$AD$25),入力!$AI$25,0))</f>
        <v>4.5</v>
      </c>
      <c r="AS20">
        <f>IF(AND($C20&gt;=入力!$AC$24,$C20&lt;=入力!$AD$24),入力!$AJ$24*12,IF(AND($C20&gt;=入力!$AC$25,$C20&lt;=入力!$AD$25),入力!$AJ$25*12,0))</f>
        <v>12</v>
      </c>
      <c r="AT20">
        <f t="shared" si="11"/>
        <v>21.5</v>
      </c>
      <c r="AU20">
        <f>IF(AND($C20&gt;=入力!$AC$24,$C20&lt;=入力!$AD$24,SUM(入力!$AE$24:$AF$24)&gt;0),車_大物家電!AT20,IF(AND($C20&gt;=入力!$AC$25,$C20&lt;=入力!$AD$25,SUM(入力!$AE$25:$AF$25)&gt;0),車_大物家電!AT20,0))</f>
        <v>21.5</v>
      </c>
    </row>
    <row r="21" spans="1:47" x14ac:dyDescent="0.25">
      <c r="A21">
        <f t="shared" si="12"/>
        <v>12</v>
      </c>
      <c r="B21" s="5">
        <f t="shared" si="7"/>
        <v>34</v>
      </c>
      <c r="C21" s="3">
        <f t="shared" si="7"/>
        <v>39</v>
      </c>
      <c r="D21" s="34"/>
      <c r="E21" s="3"/>
      <c r="F21" s="3"/>
      <c r="G21" s="3"/>
      <c r="H21" s="3"/>
      <c r="I21" s="14"/>
      <c r="J21" s="24">
        <f t="shared" si="0"/>
        <v>0</v>
      </c>
      <c r="K21" s="5"/>
      <c r="L21" s="3"/>
      <c r="M21" s="3"/>
      <c r="N21" s="3"/>
      <c r="O21" s="3"/>
      <c r="P21" s="3"/>
      <c r="Q21" s="3"/>
      <c r="R21" s="3"/>
      <c r="S21" s="14"/>
      <c r="T21" s="18">
        <f t="shared" si="1"/>
        <v>0</v>
      </c>
      <c r="U21" s="24">
        <f t="shared" si="2"/>
        <v>0</v>
      </c>
      <c r="V21" s="5"/>
      <c r="W21" s="3"/>
      <c r="X21" s="3"/>
      <c r="Y21" s="3"/>
      <c r="Z21" s="3"/>
      <c r="AA21" s="3"/>
      <c r="AB21" s="14"/>
      <c r="AC21" s="18">
        <f t="shared" si="3"/>
        <v>0</v>
      </c>
      <c r="AD21" s="24">
        <f t="shared" si="4"/>
        <v>0</v>
      </c>
      <c r="AE21" s="5">
        <f t="shared" si="8"/>
        <v>0</v>
      </c>
      <c r="AF21" s="3"/>
      <c r="AG21" s="3">
        <f>IF(MOD(C21,MAX(入力!$AE$29,1))=入力!$AE$29-1,入力!$AD$29,0)
+IF(MOD(C21,MAX(入力!$AE$30,1))=入力!$AE$30-1,入力!$AD$30,0)
+IF(MOD(C21,MAX(入力!$AE$31,1))=入力!$AE$31-1,入力!$AD$31,0)
+IF(MOD(C21,MAX(入力!$AE$32,1))=入力!$AE$32-1,入力!$AD$32,0)
+IF(MOD(C21,MAX(入力!$AE$33,1))=入力!$AE$33-1,入力!$AD$33,0)
+IF(MOD(C21,MAX(入力!$AE$34,1))=入力!$AE$34-1,入力!$AD$34,0)
+IF(MOD(C21,MAX(入力!$AE$35,1))=入力!$AE$35-1,入力!$AD$35,0)</f>
        <v>57</v>
      </c>
      <c r="AH21" s="3">
        <f>IF(AND($C21&gt;=入力!$AC$24,$C21&lt;=入力!$AD$24,MOD(A21,入力!AG$24)=0),入力!$AL$24,IF(AND($C21&gt;=入力!$AC$25,$C21&lt;=入力!$AD$25,MOD(A21,入力!$AG$25)=0),入力!$AL$25,0))</f>
        <v>0</v>
      </c>
      <c r="AI21" s="3">
        <f>IF(AND($C21&gt;=入力!$AC$24,$C21&lt;=入力!$AD$24),入力!$AF$24/60*12,IF(AND($C21&gt;=入力!$AC$25,$C21&lt;=入力!$AD$25),入力!$AF$25/60*12,0))</f>
        <v>0</v>
      </c>
      <c r="AJ21" s="14">
        <f t="shared" si="9"/>
        <v>21.5</v>
      </c>
      <c r="AK21" s="18">
        <f t="shared" si="10"/>
        <v>78.5</v>
      </c>
      <c r="AL21" s="24">
        <f t="shared" si="5"/>
        <v>-78.5</v>
      </c>
      <c r="AM21" s="24">
        <f t="shared" si="6"/>
        <v>-1064</v>
      </c>
      <c r="AP21" t="str">
        <f>住居計算!A28</f>
        <v>マンション</v>
      </c>
      <c r="AQ21">
        <f>IF(AND($C21&gt;=入力!$AC$24,$C21&lt;=入力!$AD$24),入力!$AH$24/2,IF(AND($C21&gt;=入力!$AC$25,$C21&lt;=入力!$AD$25),入力!$AH$25/2,0))</f>
        <v>5</v>
      </c>
      <c r="AR21">
        <f>IF(AND($C21&gt;=入力!$AC$24,$C21&lt;=入力!$AD$24),入力!$AI$24,IF(AND($C21&gt;=入力!$AC$25,$C21&lt;=入力!$AD$25),入力!$AI$25,0))</f>
        <v>4.5</v>
      </c>
      <c r="AS21">
        <f>IF(AND($C21&gt;=入力!$AC$24,$C21&lt;=入力!$AD$24),入力!$AJ$24*12,IF(AND($C21&gt;=入力!$AC$25,$C21&lt;=入力!$AD$25),入力!$AJ$25*12,0))</f>
        <v>12</v>
      </c>
      <c r="AT21">
        <f t="shared" si="11"/>
        <v>21.5</v>
      </c>
      <c r="AU21">
        <f>IF(AND($C21&gt;=入力!$AC$24,$C21&lt;=入力!$AD$24,SUM(入力!$AE$24:$AF$24)&gt;0),車_大物家電!AT21,IF(AND($C21&gt;=入力!$AC$25,$C21&lt;=入力!$AD$25,SUM(入力!$AE$25:$AF$25)&gt;0),車_大物家電!AT21,0))</f>
        <v>21.5</v>
      </c>
    </row>
    <row r="22" spans="1:47" x14ac:dyDescent="0.25">
      <c r="A22">
        <f t="shared" si="12"/>
        <v>13</v>
      </c>
      <c r="B22" s="5">
        <f t="shared" si="7"/>
        <v>35</v>
      </c>
      <c r="C22" s="3">
        <f t="shared" si="7"/>
        <v>40</v>
      </c>
      <c r="D22" s="34"/>
      <c r="E22" s="3"/>
      <c r="F22" s="3"/>
      <c r="G22" s="3"/>
      <c r="H22" s="3"/>
      <c r="I22" s="14"/>
      <c r="J22" s="24">
        <f t="shared" si="0"/>
        <v>0</v>
      </c>
      <c r="K22" s="5"/>
      <c r="L22" s="3"/>
      <c r="M22" s="3"/>
      <c r="N22" s="3"/>
      <c r="O22" s="3"/>
      <c r="P22" s="3"/>
      <c r="Q22" s="3"/>
      <c r="R22" s="3"/>
      <c r="S22" s="14"/>
      <c r="T22" s="18">
        <f t="shared" si="1"/>
        <v>0</v>
      </c>
      <c r="U22" s="24">
        <f t="shared" si="2"/>
        <v>0</v>
      </c>
      <c r="V22" s="5"/>
      <c r="W22" s="3"/>
      <c r="X22" s="3"/>
      <c r="Y22" s="3"/>
      <c r="Z22" s="3"/>
      <c r="AA22" s="3"/>
      <c r="AB22" s="14"/>
      <c r="AC22" s="18">
        <f t="shared" si="3"/>
        <v>0</v>
      </c>
      <c r="AD22" s="24">
        <f t="shared" si="4"/>
        <v>0</v>
      </c>
      <c r="AE22" s="5">
        <f t="shared" si="8"/>
        <v>0</v>
      </c>
      <c r="AF22" s="3"/>
      <c r="AG22" s="3">
        <f>IF(MOD(C22,MAX(入力!$AE$29,1))=入力!$AE$29-1,入力!$AD$29,0)
+IF(MOD(C22,MAX(入力!$AE$30,1))=入力!$AE$30-1,入力!$AD$30,0)
+IF(MOD(C22,MAX(入力!$AE$31,1))=入力!$AE$31-1,入力!$AD$31,0)
+IF(MOD(C22,MAX(入力!$AE$32,1))=入力!$AE$32-1,入力!$AD$32,0)
+IF(MOD(C22,MAX(入力!$AE$33,1))=入力!$AE$33-1,入力!$AD$33,0)
+IF(MOD(C22,MAX(入力!$AE$34,1))=入力!$AE$34-1,入力!$AD$34,0)
+IF(MOD(C22,MAX(入力!$AE$35,1))=入力!$AE$35-1,入力!$AD$35,0)</f>
        <v>0</v>
      </c>
      <c r="AH22" s="3">
        <f>IF(AND($C22&gt;=入力!$AC$24,$C22&lt;=入力!$AD$24,MOD(A22,入力!AG$24)=0),入力!$AL$24,IF(AND($C22&gt;=入力!$AC$25,$C22&lt;=入力!$AD$25,MOD(A22,入力!$AG$25)=0),入力!$AL$25,0))</f>
        <v>0</v>
      </c>
      <c r="AI22" s="3">
        <f>IF(AND($C22&gt;=入力!$AC$24,$C22&lt;=入力!$AD$24),入力!$AF$24/60*12,IF(AND($C22&gt;=入力!$AC$25,$C22&lt;=入力!$AD$25),入力!$AF$25/60*12,0))</f>
        <v>0</v>
      </c>
      <c r="AJ22" s="14">
        <f t="shared" si="9"/>
        <v>21.5</v>
      </c>
      <c r="AK22" s="18">
        <f t="shared" si="10"/>
        <v>21.5</v>
      </c>
      <c r="AL22" s="24">
        <f t="shared" si="5"/>
        <v>-21.5</v>
      </c>
      <c r="AM22" s="24">
        <f t="shared" si="6"/>
        <v>-1085.5</v>
      </c>
      <c r="AP22" t="str">
        <f>住居計算!A29</f>
        <v>マンション</v>
      </c>
      <c r="AQ22">
        <f>IF(AND($C22&gt;=入力!$AC$24,$C22&lt;=入力!$AD$24),入力!$AH$24/2,IF(AND($C22&gt;=入力!$AC$25,$C22&lt;=入力!$AD$25),入力!$AH$25/2,0))</f>
        <v>5</v>
      </c>
      <c r="AR22">
        <f>IF(AND($C22&gt;=入力!$AC$24,$C22&lt;=入力!$AD$24),入力!$AI$24,IF(AND($C22&gt;=入力!$AC$25,$C22&lt;=入力!$AD$25),入力!$AI$25,0))</f>
        <v>4.5</v>
      </c>
      <c r="AS22">
        <f>IF(AND($C22&gt;=入力!$AC$24,$C22&lt;=入力!$AD$24),入力!$AJ$24*12,IF(AND($C22&gt;=入力!$AC$25,$C22&lt;=入力!$AD$25),入力!$AJ$25*12,0))</f>
        <v>12</v>
      </c>
      <c r="AT22">
        <f t="shared" si="11"/>
        <v>21.5</v>
      </c>
      <c r="AU22">
        <f>IF(AND($C22&gt;=入力!$AC$24,$C22&lt;=入力!$AD$24,SUM(入力!$AE$24:$AF$24)&gt;0),車_大物家電!AT22,IF(AND($C22&gt;=入力!$AC$25,$C22&lt;=入力!$AD$25,SUM(入力!$AE$25:$AF$25)&gt;0),車_大物家電!AT22,0))</f>
        <v>21.5</v>
      </c>
    </row>
    <row r="23" spans="1:47" x14ac:dyDescent="0.25">
      <c r="A23">
        <f t="shared" si="12"/>
        <v>14</v>
      </c>
      <c r="B23" s="5">
        <f t="shared" ref="B23:C38" si="13">B22+1</f>
        <v>36</v>
      </c>
      <c r="C23" s="3">
        <f t="shared" si="13"/>
        <v>41</v>
      </c>
      <c r="D23" s="34"/>
      <c r="E23" s="3"/>
      <c r="F23" s="3"/>
      <c r="G23" s="3"/>
      <c r="H23" s="3"/>
      <c r="I23" s="14"/>
      <c r="J23" s="24">
        <f t="shared" si="0"/>
        <v>0</v>
      </c>
      <c r="K23" s="5"/>
      <c r="L23" s="3"/>
      <c r="M23" s="3"/>
      <c r="N23" s="3"/>
      <c r="O23" s="3"/>
      <c r="P23" s="3"/>
      <c r="Q23" s="3"/>
      <c r="R23" s="3"/>
      <c r="S23" s="14"/>
      <c r="T23" s="18">
        <f t="shared" si="1"/>
        <v>0</v>
      </c>
      <c r="U23" s="24">
        <f t="shared" si="2"/>
        <v>0</v>
      </c>
      <c r="V23" s="5"/>
      <c r="W23" s="3"/>
      <c r="X23" s="3"/>
      <c r="Y23" s="3"/>
      <c r="Z23" s="3"/>
      <c r="AA23" s="3"/>
      <c r="AB23" s="14"/>
      <c r="AC23" s="18">
        <f t="shared" si="3"/>
        <v>0</v>
      </c>
      <c r="AD23" s="24">
        <f t="shared" si="4"/>
        <v>0</v>
      </c>
      <c r="AE23" s="5">
        <f t="shared" si="8"/>
        <v>0</v>
      </c>
      <c r="AF23" s="3"/>
      <c r="AG23" s="3">
        <f>IF(MOD(C23,MAX(入力!$AE$29,1))=入力!$AE$29-1,入力!$AD$29,0)
+IF(MOD(C23,MAX(入力!$AE$30,1))=入力!$AE$30-1,入力!$AD$30,0)
+IF(MOD(C23,MAX(入力!$AE$31,1))=入力!$AE$31-1,入力!$AD$31,0)
+IF(MOD(C23,MAX(入力!$AE$32,1))=入力!$AE$32-1,入力!$AD$32,0)
+IF(MOD(C23,MAX(入力!$AE$33,1))=入力!$AE$33-1,入力!$AD$33,0)
+IF(MOD(C23,MAX(入力!$AE$34,1))=入力!$AE$34-1,入力!$AD$34,0)
+IF(MOD(C23,MAX(入力!$AE$35,1))=入力!$AE$35-1,入力!$AD$35,0)</f>
        <v>0</v>
      </c>
      <c r="AH23" s="3">
        <f>IF(AND($C23&gt;=入力!$AC$24,$C23&lt;=入力!$AD$24,MOD(A23,入力!AG$24)=0),入力!$AL$24,IF(AND($C23&gt;=入力!$AC$25,$C23&lt;=入力!$AD$25,MOD(A23,入力!$AG$25)=0),入力!$AL$25,0))</f>
        <v>300</v>
      </c>
      <c r="AI23" s="3">
        <f>IF(AND($C23&gt;=入力!$AC$24,$C23&lt;=入力!$AD$24),入力!$AF$24/60*12,IF(AND($C23&gt;=入力!$AC$25,$C23&lt;=入力!$AD$25),入力!$AF$25/60*12,0))</f>
        <v>0</v>
      </c>
      <c r="AJ23" s="14">
        <f t="shared" si="9"/>
        <v>21.5</v>
      </c>
      <c r="AK23" s="18">
        <f t="shared" si="10"/>
        <v>321.5</v>
      </c>
      <c r="AL23" s="24">
        <f t="shared" si="5"/>
        <v>-321.5</v>
      </c>
      <c r="AM23" s="24">
        <f t="shared" si="6"/>
        <v>-1407</v>
      </c>
      <c r="AP23" t="str">
        <f>住居計算!A30</f>
        <v>マンション</v>
      </c>
      <c r="AQ23">
        <f>IF(AND($C23&gt;=入力!$AC$24,$C23&lt;=入力!$AD$24),入力!$AH$24/2,IF(AND($C23&gt;=入力!$AC$25,$C23&lt;=入力!$AD$25),入力!$AH$25/2,0))</f>
        <v>5</v>
      </c>
      <c r="AR23">
        <f>IF(AND($C23&gt;=入力!$AC$24,$C23&lt;=入力!$AD$24),入力!$AI$24,IF(AND($C23&gt;=入力!$AC$25,$C23&lt;=入力!$AD$25),入力!$AI$25,0))</f>
        <v>4.5</v>
      </c>
      <c r="AS23">
        <f>IF(AND($C23&gt;=入力!$AC$24,$C23&lt;=入力!$AD$24),入力!$AJ$24*12,IF(AND($C23&gt;=入力!$AC$25,$C23&lt;=入力!$AD$25),入力!$AJ$25*12,0))</f>
        <v>12</v>
      </c>
      <c r="AT23">
        <f t="shared" si="11"/>
        <v>21.5</v>
      </c>
      <c r="AU23">
        <f>IF(AND($C23&gt;=入力!$AC$24,$C23&lt;=入力!$AD$24,SUM(入力!$AE$24:$AF$24)&gt;0),車_大物家電!AT23,IF(AND($C23&gt;=入力!$AC$25,$C23&lt;=入力!$AD$25,SUM(入力!$AE$25:$AF$25)&gt;0),車_大物家電!AT23,0))</f>
        <v>21.5</v>
      </c>
    </row>
    <row r="24" spans="1:47" x14ac:dyDescent="0.25">
      <c r="A24">
        <f t="shared" si="12"/>
        <v>15</v>
      </c>
      <c r="B24" s="5">
        <f t="shared" si="13"/>
        <v>37</v>
      </c>
      <c r="C24" s="3">
        <f t="shared" si="13"/>
        <v>42</v>
      </c>
      <c r="D24" s="34"/>
      <c r="E24" s="3"/>
      <c r="F24" s="3"/>
      <c r="G24" s="3"/>
      <c r="H24" s="3"/>
      <c r="I24" s="14"/>
      <c r="J24" s="24">
        <f t="shared" si="0"/>
        <v>0</v>
      </c>
      <c r="K24" s="5"/>
      <c r="L24" s="3"/>
      <c r="M24" s="3"/>
      <c r="N24" s="3"/>
      <c r="O24" s="3"/>
      <c r="P24" s="3"/>
      <c r="Q24" s="3"/>
      <c r="R24" s="3"/>
      <c r="S24" s="14"/>
      <c r="T24" s="18">
        <f t="shared" si="1"/>
        <v>0</v>
      </c>
      <c r="U24" s="24">
        <f t="shared" si="2"/>
        <v>0</v>
      </c>
      <c r="V24" s="5"/>
      <c r="W24" s="3"/>
      <c r="X24" s="3"/>
      <c r="Y24" s="3"/>
      <c r="Z24" s="3"/>
      <c r="AA24" s="3"/>
      <c r="AB24" s="14"/>
      <c r="AC24" s="18">
        <f t="shared" si="3"/>
        <v>0</v>
      </c>
      <c r="AD24" s="24">
        <f t="shared" si="4"/>
        <v>0</v>
      </c>
      <c r="AE24" s="5">
        <f t="shared" si="8"/>
        <v>0</v>
      </c>
      <c r="AF24" s="3"/>
      <c r="AG24" s="3">
        <f>IF(MOD(C24,MAX(入力!$AE$29,1))=入力!$AE$29-1,入力!$AD$29,0)
+IF(MOD(C24,MAX(入力!$AE$30,1))=入力!$AE$30-1,入力!$AD$30,0)
+IF(MOD(C24,MAX(入力!$AE$31,1))=入力!$AE$31-1,入力!$AD$31,0)
+IF(MOD(C24,MAX(入力!$AE$32,1))=入力!$AE$32-1,入力!$AD$32,0)
+IF(MOD(C24,MAX(入力!$AE$33,1))=入力!$AE$33-1,入力!$AD$33,0)
+IF(MOD(C24,MAX(入力!$AE$34,1))=入力!$AE$34-1,入力!$AD$34,0)
+IF(MOD(C24,MAX(入力!$AE$35,1))=入力!$AE$35-1,入力!$AD$35,0)</f>
        <v>0</v>
      </c>
      <c r="AH24" s="3">
        <f>IF(AND($C24&gt;=入力!$AC$24,$C24&lt;=入力!$AD$24,MOD(A24,入力!AG$24)=0),入力!$AL$24,IF(AND($C24&gt;=入力!$AC$25,$C24&lt;=入力!$AD$25,MOD(A24,入力!$AG$25)=0),入力!$AL$25,0))</f>
        <v>0</v>
      </c>
      <c r="AI24" s="3">
        <f>IF(AND($C24&gt;=入力!$AC$24,$C24&lt;=入力!$AD$24),入力!$AF$24/60*12,IF(AND($C24&gt;=入力!$AC$25,$C24&lt;=入力!$AD$25),入力!$AF$25/60*12,0))</f>
        <v>0</v>
      </c>
      <c r="AJ24" s="14">
        <f t="shared" si="9"/>
        <v>21.5</v>
      </c>
      <c r="AK24" s="18">
        <f t="shared" si="10"/>
        <v>21.5</v>
      </c>
      <c r="AL24" s="24">
        <f t="shared" si="5"/>
        <v>-21.5</v>
      </c>
      <c r="AM24" s="24">
        <f t="shared" si="6"/>
        <v>-1428.5</v>
      </c>
      <c r="AP24" t="str">
        <f>住居計算!A31</f>
        <v>マンション</v>
      </c>
      <c r="AQ24">
        <f>IF(AND($C24&gt;=入力!$AC$24,$C24&lt;=入力!$AD$24),入力!$AH$24/2,IF(AND($C24&gt;=入力!$AC$25,$C24&lt;=入力!$AD$25),入力!$AH$25/2,0))</f>
        <v>5</v>
      </c>
      <c r="AR24">
        <f>IF(AND($C24&gt;=入力!$AC$24,$C24&lt;=入力!$AD$24),入力!$AI$24,IF(AND($C24&gt;=入力!$AC$25,$C24&lt;=入力!$AD$25),入力!$AI$25,0))</f>
        <v>4.5</v>
      </c>
      <c r="AS24">
        <f>IF(AND($C24&gt;=入力!$AC$24,$C24&lt;=入力!$AD$24),入力!$AJ$24*12,IF(AND($C24&gt;=入力!$AC$25,$C24&lt;=入力!$AD$25),入力!$AJ$25*12,0))</f>
        <v>12</v>
      </c>
      <c r="AT24">
        <f t="shared" si="11"/>
        <v>21.5</v>
      </c>
      <c r="AU24">
        <f>IF(AND($C24&gt;=入力!$AC$24,$C24&lt;=入力!$AD$24,SUM(入力!$AE$24:$AF$24)&gt;0),車_大物家電!AT24,IF(AND($C24&gt;=入力!$AC$25,$C24&lt;=入力!$AD$25,SUM(入力!$AE$25:$AF$25)&gt;0),車_大物家電!AT24,0))</f>
        <v>21.5</v>
      </c>
    </row>
    <row r="25" spans="1:47" x14ac:dyDescent="0.25">
      <c r="A25">
        <f t="shared" si="12"/>
        <v>16</v>
      </c>
      <c r="B25" s="5">
        <f t="shared" si="13"/>
        <v>38</v>
      </c>
      <c r="C25" s="3">
        <f t="shared" si="13"/>
        <v>43</v>
      </c>
      <c r="D25" s="34"/>
      <c r="E25" s="3"/>
      <c r="F25" s="3"/>
      <c r="G25" s="3"/>
      <c r="H25" s="3"/>
      <c r="I25" s="14"/>
      <c r="J25" s="24">
        <f t="shared" si="0"/>
        <v>0</v>
      </c>
      <c r="K25" s="5"/>
      <c r="L25" s="3"/>
      <c r="M25" s="3"/>
      <c r="N25" s="3"/>
      <c r="O25" s="3"/>
      <c r="P25" s="3"/>
      <c r="Q25" s="3"/>
      <c r="R25" s="3"/>
      <c r="S25" s="14"/>
      <c r="T25" s="18">
        <f t="shared" si="1"/>
        <v>0</v>
      </c>
      <c r="U25" s="24">
        <f t="shared" si="2"/>
        <v>0</v>
      </c>
      <c r="V25" s="5"/>
      <c r="W25" s="3"/>
      <c r="X25" s="3"/>
      <c r="Y25" s="3"/>
      <c r="Z25" s="3"/>
      <c r="AA25" s="3"/>
      <c r="AB25" s="14"/>
      <c r="AC25" s="18">
        <f t="shared" si="3"/>
        <v>0</v>
      </c>
      <c r="AD25" s="24">
        <f t="shared" si="4"/>
        <v>0</v>
      </c>
      <c r="AE25" s="5">
        <f t="shared" si="8"/>
        <v>0</v>
      </c>
      <c r="AF25" s="3"/>
      <c r="AG25" s="3">
        <f>IF(MOD(C25,MAX(入力!$AE$29,1))=入力!$AE$29-1,入力!$AD$29,0)
+IF(MOD(C25,MAX(入力!$AE$30,1))=入力!$AE$30-1,入力!$AD$30,0)
+IF(MOD(C25,MAX(入力!$AE$31,1))=入力!$AE$31-1,入力!$AD$31,0)
+IF(MOD(C25,MAX(入力!$AE$32,1))=入力!$AE$32-1,入力!$AD$32,0)
+IF(MOD(C25,MAX(入力!$AE$33,1))=入力!$AE$33-1,入力!$AD$33,0)
+IF(MOD(C25,MAX(入力!$AE$34,1))=入力!$AE$34-1,入力!$AD$34,0)
+IF(MOD(C25,MAX(入力!$AE$35,1))=入力!$AE$35-1,入力!$AD$35,0)</f>
        <v>0</v>
      </c>
      <c r="AH25" s="3">
        <f>IF(AND($C25&gt;=入力!$AC$24,$C25&lt;=入力!$AD$24,MOD(A25,入力!AG$24)=0),入力!$AL$24,IF(AND($C25&gt;=入力!$AC$25,$C25&lt;=入力!$AD$25,MOD(A25,入力!$AG$25)=0),入力!$AL$25,0))</f>
        <v>0</v>
      </c>
      <c r="AI25" s="3">
        <f>IF(AND($C25&gt;=入力!$AC$24,$C25&lt;=入力!$AD$24),入力!$AF$24/60*12,IF(AND($C25&gt;=入力!$AC$25,$C25&lt;=入力!$AD$25),入力!$AF$25/60*12,0))</f>
        <v>0</v>
      </c>
      <c r="AJ25" s="14">
        <f t="shared" si="9"/>
        <v>21.5</v>
      </c>
      <c r="AK25" s="18">
        <f t="shared" si="10"/>
        <v>21.5</v>
      </c>
      <c r="AL25" s="24">
        <f t="shared" si="5"/>
        <v>-21.5</v>
      </c>
      <c r="AM25" s="24">
        <f t="shared" si="6"/>
        <v>-1450</v>
      </c>
      <c r="AP25" t="str">
        <f>住居計算!A32</f>
        <v>マンション</v>
      </c>
      <c r="AQ25">
        <f>IF(AND($C25&gt;=入力!$AC$24,$C25&lt;=入力!$AD$24),入力!$AH$24/2,IF(AND($C25&gt;=入力!$AC$25,$C25&lt;=入力!$AD$25),入力!$AH$25/2,0))</f>
        <v>5</v>
      </c>
      <c r="AR25">
        <f>IF(AND($C25&gt;=入力!$AC$24,$C25&lt;=入力!$AD$24),入力!$AI$24,IF(AND($C25&gt;=入力!$AC$25,$C25&lt;=入力!$AD$25),入力!$AI$25,0))</f>
        <v>4.5</v>
      </c>
      <c r="AS25">
        <f>IF(AND($C25&gt;=入力!$AC$24,$C25&lt;=入力!$AD$24),入力!$AJ$24*12,IF(AND($C25&gt;=入力!$AC$25,$C25&lt;=入力!$AD$25),入力!$AJ$25*12,0))</f>
        <v>12</v>
      </c>
      <c r="AT25">
        <f t="shared" si="11"/>
        <v>21.5</v>
      </c>
      <c r="AU25">
        <f>IF(AND($C25&gt;=入力!$AC$24,$C25&lt;=入力!$AD$24,SUM(入力!$AE$24:$AF$24)&gt;0),車_大物家電!AT25,IF(AND($C25&gt;=入力!$AC$25,$C25&lt;=入力!$AD$25,SUM(入力!$AE$25:$AF$25)&gt;0),車_大物家電!AT25,0))</f>
        <v>21.5</v>
      </c>
    </row>
    <row r="26" spans="1:47" x14ac:dyDescent="0.25">
      <c r="A26">
        <f t="shared" si="12"/>
        <v>17</v>
      </c>
      <c r="B26" s="5">
        <f t="shared" si="13"/>
        <v>39</v>
      </c>
      <c r="C26" s="3">
        <f t="shared" si="13"/>
        <v>44</v>
      </c>
      <c r="D26" s="34"/>
      <c r="E26" s="3"/>
      <c r="F26" s="3"/>
      <c r="G26" s="3"/>
      <c r="H26" s="3"/>
      <c r="I26" s="14"/>
      <c r="J26" s="24">
        <f t="shared" si="0"/>
        <v>0</v>
      </c>
      <c r="K26" s="5"/>
      <c r="L26" s="3"/>
      <c r="M26" s="3"/>
      <c r="N26" s="3"/>
      <c r="O26" s="3"/>
      <c r="P26" s="3"/>
      <c r="Q26" s="3"/>
      <c r="R26" s="3"/>
      <c r="S26" s="14"/>
      <c r="T26" s="18">
        <f t="shared" si="1"/>
        <v>0</v>
      </c>
      <c r="U26" s="24">
        <f t="shared" si="2"/>
        <v>0</v>
      </c>
      <c r="V26" s="5"/>
      <c r="W26" s="3"/>
      <c r="X26" s="3"/>
      <c r="Y26" s="3"/>
      <c r="Z26" s="3"/>
      <c r="AA26" s="3"/>
      <c r="AB26" s="14"/>
      <c r="AC26" s="18">
        <f t="shared" si="3"/>
        <v>0</v>
      </c>
      <c r="AD26" s="24">
        <f t="shared" si="4"/>
        <v>0</v>
      </c>
      <c r="AE26" s="5">
        <f t="shared" si="8"/>
        <v>0</v>
      </c>
      <c r="AF26" s="3"/>
      <c r="AG26" s="3">
        <f>IF(MOD(C26,MAX(入力!$AE$29,1))=入力!$AE$29-1,入力!$AD$29,0)
+IF(MOD(C26,MAX(入力!$AE$30,1))=入力!$AE$30-1,入力!$AD$30,0)
+IF(MOD(C26,MAX(入力!$AE$31,1))=入力!$AE$31-1,入力!$AD$31,0)
+IF(MOD(C26,MAX(入力!$AE$32,1))=入力!$AE$32-1,入力!$AD$32,0)
+IF(MOD(C26,MAX(入力!$AE$33,1))=入力!$AE$33-1,入力!$AD$33,0)
+IF(MOD(C26,MAX(入力!$AE$34,1))=入力!$AE$34-1,入力!$AD$34,0)
+IF(MOD(C26,MAX(入力!$AE$35,1))=入力!$AE$35-1,入力!$AD$35,0)</f>
        <v>3</v>
      </c>
      <c r="AH26" s="3">
        <f>IF(AND($C26&gt;=入力!$AC$24,$C26&lt;=入力!$AD$24,MOD(A26,入力!AG$24)=0),入力!$AL$24,IF(AND($C26&gt;=入力!$AC$25,$C26&lt;=入力!$AD$25,MOD(A26,入力!$AG$25)=0),入力!$AL$25,0))</f>
        <v>0</v>
      </c>
      <c r="AI26" s="3">
        <f>IF(AND($C26&gt;=入力!$AC$24,$C26&lt;=入力!$AD$24),入力!$AF$24/60*12,IF(AND($C26&gt;=入力!$AC$25,$C26&lt;=入力!$AD$25),入力!$AF$25/60*12,0))</f>
        <v>0</v>
      </c>
      <c r="AJ26" s="14">
        <f t="shared" si="9"/>
        <v>21.5</v>
      </c>
      <c r="AK26" s="18">
        <f t="shared" si="10"/>
        <v>24.5</v>
      </c>
      <c r="AL26" s="24">
        <f t="shared" si="5"/>
        <v>-24.5</v>
      </c>
      <c r="AM26" s="24">
        <f t="shared" si="6"/>
        <v>-1474.5</v>
      </c>
      <c r="AP26" t="str">
        <f>住居計算!A33</f>
        <v>マンション</v>
      </c>
      <c r="AQ26">
        <f>IF(AND($C26&gt;=入力!$AC$24,$C26&lt;=入力!$AD$24),入力!$AH$24/2,IF(AND($C26&gt;=入力!$AC$25,$C26&lt;=入力!$AD$25),入力!$AH$25/2,0))</f>
        <v>5</v>
      </c>
      <c r="AR26">
        <f>IF(AND($C26&gt;=入力!$AC$24,$C26&lt;=入力!$AD$24),入力!$AI$24,IF(AND($C26&gt;=入力!$AC$25,$C26&lt;=入力!$AD$25),入力!$AI$25,0))</f>
        <v>4.5</v>
      </c>
      <c r="AS26">
        <f>IF(AND($C26&gt;=入力!$AC$24,$C26&lt;=入力!$AD$24),入力!$AJ$24*12,IF(AND($C26&gt;=入力!$AC$25,$C26&lt;=入力!$AD$25),入力!$AJ$25*12,0))</f>
        <v>12</v>
      </c>
      <c r="AT26">
        <f t="shared" si="11"/>
        <v>21.5</v>
      </c>
      <c r="AU26">
        <f>IF(AND($C26&gt;=入力!$AC$24,$C26&lt;=入力!$AD$24,SUM(入力!$AE$24:$AF$24)&gt;0),車_大物家電!AT26,IF(AND($C26&gt;=入力!$AC$25,$C26&lt;=入力!$AD$25,SUM(入力!$AE$25:$AF$25)&gt;0),車_大物家電!AT26,0))</f>
        <v>21.5</v>
      </c>
    </row>
    <row r="27" spans="1:47" x14ac:dyDescent="0.25">
      <c r="A27">
        <f t="shared" si="12"/>
        <v>18</v>
      </c>
      <c r="B27" s="5">
        <f t="shared" si="13"/>
        <v>40</v>
      </c>
      <c r="C27" s="3">
        <f t="shared" si="13"/>
        <v>45</v>
      </c>
      <c r="D27" s="34"/>
      <c r="E27" s="3"/>
      <c r="F27" s="3"/>
      <c r="G27" s="3"/>
      <c r="H27" s="3"/>
      <c r="I27" s="14"/>
      <c r="J27" s="24">
        <f t="shared" si="0"/>
        <v>0</v>
      </c>
      <c r="K27" s="5"/>
      <c r="L27" s="3"/>
      <c r="M27" s="3"/>
      <c r="N27" s="3"/>
      <c r="O27" s="3"/>
      <c r="P27" s="3"/>
      <c r="Q27" s="3"/>
      <c r="R27" s="3"/>
      <c r="S27" s="14"/>
      <c r="T27" s="18">
        <f t="shared" si="1"/>
        <v>0</v>
      </c>
      <c r="U27" s="24">
        <f t="shared" si="2"/>
        <v>0</v>
      </c>
      <c r="V27" s="5"/>
      <c r="W27" s="3"/>
      <c r="X27" s="3"/>
      <c r="Y27" s="3"/>
      <c r="Z27" s="3"/>
      <c r="AA27" s="3"/>
      <c r="AB27" s="14"/>
      <c r="AC27" s="18">
        <f t="shared" si="3"/>
        <v>0</v>
      </c>
      <c r="AD27" s="24">
        <f t="shared" si="4"/>
        <v>0</v>
      </c>
      <c r="AE27" s="5">
        <f t="shared" si="8"/>
        <v>0</v>
      </c>
      <c r="AF27" s="3"/>
      <c r="AG27" s="3">
        <f>IF(MOD(C27,MAX(入力!$AE$29,1))=入力!$AE$29-1,入力!$AD$29,0)
+IF(MOD(C27,MAX(入力!$AE$30,1))=入力!$AE$30-1,入力!$AD$30,0)
+IF(MOD(C27,MAX(入力!$AE$31,1))=入力!$AE$31-1,入力!$AD$31,0)
+IF(MOD(C27,MAX(入力!$AE$32,1))=入力!$AE$32-1,入力!$AD$32,0)
+IF(MOD(C27,MAX(入力!$AE$33,1))=入力!$AE$33-1,入力!$AD$33,0)
+IF(MOD(C27,MAX(入力!$AE$34,1))=入力!$AE$34-1,入力!$AD$34,0)
+IF(MOD(C27,MAX(入力!$AE$35,1))=入力!$AE$35-1,入力!$AD$35,0)</f>
        <v>0</v>
      </c>
      <c r="AH27" s="3">
        <f>IF(AND($C27&gt;=入力!$AC$24,$C27&lt;=入力!$AD$24,MOD(A27,入力!AG$24)=0),入力!$AL$24,IF(AND($C27&gt;=入力!$AC$25,$C27&lt;=入力!$AD$25,MOD(A27,入力!$AG$25)=0),入力!$AL$25,0))</f>
        <v>0</v>
      </c>
      <c r="AI27" s="3">
        <f>IF(AND($C27&gt;=入力!$AC$24,$C27&lt;=入力!$AD$24),入力!$AF$24/60*12,IF(AND($C27&gt;=入力!$AC$25,$C27&lt;=入力!$AD$25),入力!$AF$25/60*12,0))</f>
        <v>0</v>
      </c>
      <c r="AJ27" s="14">
        <f t="shared" si="9"/>
        <v>21.5</v>
      </c>
      <c r="AK27" s="18">
        <f t="shared" si="10"/>
        <v>21.5</v>
      </c>
      <c r="AL27" s="24">
        <f t="shared" si="5"/>
        <v>-21.5</v>
      </c>
      <c r="AM27" s="24">
        <f t="shared" si="6"/>
        <v>-1496</v>
      </c>
      <c r="AP27" t="str">
        <f>住居計算!A34</f>
        <v>マンション</v>
      </c>
      <c r="AQ27">
        <f>IF(AND($C27&gt;=入力!$AC$24,$C27&lt;=入力!$AD$24),入力!$AH$24/2,IF(AND($C27&gt;=入力!$AC$25,$C27&lt;=入力!$AD$25),入力!$AH$25/2,0))</f>
        <v>5</v>
      </c>
      <c r="AR27">
        <f>IF(AND($C27&gt;=入力!$AC$24,$C27&lt;=入力!$AD$24),入力!$AI$24,IF(AND($C27&gt;=入力!$AC$25,$C27&lt;=入力!$AD$25),入力!$AI$25,0))</f>
        <v>4.5</v>
      </c>
      <c r="AS27">
        <f>IF(AND($C27&gt;=入力!$AC$24,$C27&lt;=入力!$AD$24),入力!$AJ$24*12,IF(AND($C27&gt;=入力!$AC$25,$C27&lt;=入力!$AD$25),入力!$AJ$25*12,0))</f>
        <v>12</v>
      </c>
      <c r="AT27">
        <f t="shared" si="11"/>
        <v>21.5</v>
      </c>
      <c r="AU27">
        <f>IF(AND($C27&gt;=入力!$AC$24,$C27&lt;=入力!$AD$24,SUM(入力!$AE$24:$AF$24)&gt;0),車_大物家電!AT27,IF(AND($C27&gt;=入力!$AC$25,$C27&lt;=入力!$AD$25,SUM(入力!$AE$25:$AF$25)&gt;0),車_大物家電!AT27,0))</f>
        <v>21.5</v>
      </c>
    </row>
    <row r="28" spans="1:47" x14ac:dyDescent="0.25">
      <c r="A28">
        <f t="shared" si="12"/>
        <v>19</v>
      </c>
      <c r="B28" s="5">
        <f t="shared" si="13"/>
        <v>41</v>
      </c>
      <c r="C28" s="3">
        <f t="shared" si="13"/>
        <v>46</v>
      </c>
      <c r="D28" s="34"/>
      <c r="E28" s="3"/>
      <c r="F28" s="3"/>
      <c r="G28" s="3"/>
      <c r="H28" s="3"/>
      <c r="I28" s="14"/>
      <c r="J28" s="24">
        <f t="shared" si="0"/>
        <v>0</v>
      </c>
      <c r="K28" s="5"/>
      <c r="L28" s="3"/>
      <c r="M28" s="3"/>
      <c r="N28" s="3"/>
      <c r="O28" s="3"/>
      <c r="P28" s="3"/>
      <c r="Q28" s="3"/>
      <c r="R28" s="3"/>
      <c r="S28" s="14"/>
      <c r="T28" s="18">
        <f t="shared" si="1"/>
        <v>0</v>
      </c>
      <c r="U28" s="24">
        <f t="shared" si="2"/>
        <v>0</v>
      </c>
      <c r="V28" s="5"/>
      <c r="W28" s="3"/>
      <c r="X28" s="3"/>
      <c r="Y28" s="3"/>
      <c r="Z28" s="3"/>
      <c r="AA28" s="3"/>
      <c r="AB28" s="14"/>
      <c r="AC28" s="18">
        <f t="shared" si="3"/>
        <v>0</v>
      </c>
      <c r="AD28" s="24">
        <f t="shared" si="4"/>
        <v>0</v>
      </c>
      <c r="AE28" s="5">
        <f t="shared" si="8"/>
        <v>0</v>
      </c>
      <c r="AF28" s="3"/>
      <c r="AG28" s="3">
        <f>IF(MOD(C28,MAX(入力!$AE$29,1))=入力!$AE$29-1,入力!$AD$29,0)
+IF(MOD(C28,MAX(入力!$AE$30,1))=入力!$AE$30-1,入力!$AD$30,0)
+IF(MOD(C28,MAX(入力!$AE$31,1))=入力!$AE$31-1,入力!$AD$31,0)
+IF(MOD(C28,MAX(入力!$AE$32,1))=入力!$AE$32-1,入力!$AD$32,0)
+IF(MOD(C28,MAX(入力!$AE$33,1))=入力!$AE$33-1,入力!$AD$33,0)
+IF(MOD(C28,MAX(入力!$AE$34,1))=入力!$AE$34-1,入力!$AD$34,0)
+IF(MOD(C28,MAX(入力!$AE$35,1))=入力!$AE$35-1,入力!$AD$35,0)</f>
        <v>0</v>
      </c>
      <c r="AH28" s="3">
        <f>IF(AND($C28&gt;=入力!$AC$24,$C28&lt;=入力!$AD$24,MOD(A28,入力!AG$24)=0),入力!$AL$24,IF(AND($C28&gt;=入力!$AC$25,$C28&lt;=入力!$AD$25,MOD(A28,入力!$AG$25)=0),入力!$AL$25,0))</f>
        <v>0</v>
      </c>
      <c r="AI28" s="3">
        <f>IF(AND($C28&gt;=入力!$AC$24,$C28&lt;=入力!$AD$24),入力!$AF$24/60*12,IF(AND($C28&gt;=入力!$AC$25,$C28&lt;=入力!$AD$25),入力!$AF$25/60*12,0))</f>
        <v>0</v>
      </c>
      <c r="AJ28" s="14">
        <f t="shared" si="9"/>
        <v>21.5</v>
      </c>
      <c r="AK28" s="18">
        <f t="shared" si="10"/>
        <v>21.5</v>
      </c>
      <c r="AL28" s="24">
        <f t="shared" si="5"/>
        <v>-21.5</v>
      </c>
      <c r="AM28" s="24">
        <f t="shared" si="6"/>
        <v>-1517.5</v>
      </c>
      <c r="AP28" t="str">
        <f>住居計算!A35</f>
        <v>マンション</v>
      </c>
      <c r="AQ28">
        <f>IF(AND($C28&gt;=入力!$AC$24,$C28&lt;=入力!$AD$24),入力!$AH$24/2,IF(AND($C28&gt;=入力!$AC$25,$C28&lt;=入力!$AD$25),入力!$AH$25/2,0))</f>
        <v>5</v>
      </c>
      <c r="AR28">
        <f>IF(AND($C28&gt;=入力!$AC$24,$C28&lt;=入力!$AD$24),入力!$AI$24,IF(AND($C28&gt;=入力!$AC$25,$C28&lt;=入力!$AD$25),入力!$AI$25,0))</f>
        <v>4.5</v>
      </c>
      <c r="AS28">
        <f>IF(AND($C28&gt;=入力!$AC$24,$C28&lt;=入力!$AD$24),入力!$AJ$24*12,IF(AND($C28&gt;=入力!$AC$25,$C28&lt;=入力!$AD$25),入力!$AJ$25*12,0))</f>
        <v>12</v>
      </c>
      <c r="AT28">
        <f t="shared" si="11"/>
        <v>21.5</v>
      </c>
      <c r="AU28">
        <f>IF(AND($C28&gt;=入力!$AC$24,$C28&lt;=入力!$AD$24,SUM(入力!$AE$24:$AF$24)&gt;0),車_大物家電!AT28,IF(AND($C28&gt;=入力!$AC$25,$C28&lt;=入力!$AD$25,SUM(入力!$AE$25:$AF$25)&gt;0),車_大物家電!AT28,0))</f>
        <v>21.5</v>
      </c>
    </row>
    <row r="29" spans="1:47" x14ac:dyDescent="0.25">
      <c r="A29">
        <f t="shared" si="12"/>
        <v>20</v>
      </c>
      <c r="B29" s="5">
        <f t="shared" si="13"/>
        <v>42</v>
      </c>
      <c r="C29" s="3">
        <f t="shared" si="13"/>
        <v>47</v>
      </c>
      <c r="D29" s="34"/>
      <c r="E29" s="3"/>
      <c r="F29" s="3"/>
      <c r="G29" s="3"/>
      <c r="H29" s="3"/>
      <c r="I29" s="14"/>
      <c r="J29" s="24">
        <f t="shared" si="0"/>
        <v>0</v>
      </c>
      <c r="K29" s="5"/>
      <c r="L29" s="3"/>
      <c r="M29" s="3"/>
      <c r="N29" s="3"/>
      <c r="O29" s="3"/>
      <c r="P29" s="3"/>
      <c r="Q29" s="3"/>
      <c r="R29" s="3"/>
      <c r="S29" s="14"/>
      <c r="T29" s="18">
        <f t="shared" si="1"/>
        <v>0</v>
      </c>
      <c r="U29" s="24">
        <f t="shared" si="2"/>
        <v>0</v>
      </c>
      <c r="V29" s="5"/>
      <c r="W29" s="3"/>
      <c r="X29" s="3"/>
      <c r="Y29" s="3"/>
      <c r="Z29" s="3"/>
      <c r="AA29" s="3"/>
      <c r="AB29" s="14"/>
      <c r="AC29" s="18">
        <f t="shared" si="3"/>
        <v>0</v>
      </c>
      <c r="AD29" s="24">
        <f t="shared" si="4"/>
        <v>0</v>
      </c>
      <c r="AE29" s="5">
        <f t="shared" si="8"/>
        <v>0</v>
      </c>
      <c r="AF29" s="3"/>
      <c r="AG29" s="3">
        <f>IF(MOD(C29,MAX(入力!$AE$29,1))=入力!$AE$29-1,入力!$AD$29,0)
+IF(MOD(C29,MAX(入力!$AE$30,1))=入力!$AE$30-1,入力!$AD$30,0)
+IF(MOD(C29,MAX(入力!$AE$31,1))=入力!$AE$31-1,入力!$AD$31,0)
+IF(MOD(C29,MAX(入力!$AE$32,1))=入力!$AE$32-1,入力!$AD$32,0)
+IF(MOD(C29,MAX(入力!$AE$33,1))=入力!$AE$33-1,入力!$AD$33,0)
+IF(MOD(C29,MAX(入力!$AE$34,1))=入力!$AE$34-1,入力!$AD$34,0)
+IF(MOD(C29,MAX(入力!$AE$35,1))=入力!$AE$35-1,入力!$AD$35,0)</f>
        <v>0</v>
      </c>
      <c r="AH29" s="3">
        <f>IF(AND($C29&gt;=入力!$AC$24,$C29&lt;=入力!$AD$24,MOD(A29,入力!AG$24)=0),入力!$AL$24,IF(AND($C29&gt;=入力!$AC$25,$C29&lt;=入力!$AD$25,MOD(A29,入力!$AG$25)=0),入力!$AL$25,0))</f>
        <v>0</v>
      </c>
      <c r="AI29" s="3">
        <f>IF(AND($C29&gt;=入力!$AC$24,$C29&lt;=入力!$AD$24),入力!$AF$24/60*12,IF(AND($C29&gt;=入力!$AC$25,$C29&lt;=入力!$AD$25),入力!$AF$25/60*12,0))</f>
        <v>0</v>
      </c>
      <c r="AJ29" s="14">
        <f t="shared" si="9"/>
        <v>21.5</v>
      </c>
      <c r="AK29" s="18">
        <f t="shared" si="10"/>
        <v>21.5</v>
      </c>
      <c r="AL29" s="24">
        <f t="shared" si="5"/>
        <v>-21.5</v>
      </c>
      <c r="AM29" s="24">
        <f t="shared" si="6"/>
        <v>-1539</v>
      </c>
      <c r="AP29" t="str">
        <f>住居計算!A36</f>
        <v>マンション</v>
      </c>
      <c r="AQ29">
        <f>IF(AND($C29&gt;=入力!$AC$24,$C29&lt;=入力!$AD$24),入力!$AH$24/2,IF(AND($C29&gt;=入力!$AC$25,$C29&lt;=入力!$AD$25),入力!$AH$25/2,0))</f>
        <v>5</v>
      </c>
      <c r="AR29">
        <f>IF(AND($C29&gt;=入力!$AC$24,$C29&lt;=入力!$AD$24),入力!$AI$24,IF(AND($C29&gt;=入力!$AC$25,$C29&lt;=入力!$AD$25),入力!$AI$25,0))</f>
        <v>4.5</v>
      </c>
      <c r="AS29">
        <f>IF(AND($C29&gt;=入力!$AC$24,$C29&lt;=入力!$AD$24),入力!$AJ$24*12,IF(AND($C29&gt;=入力!$AC$25,$C29&lt;=入力!$AD$25),入力!$AJ$25*12,0))</f>
        <v>12</v>
      </c>
      <c r="AT29">
        <f t="shared" si="11"/>
        <v>21.5</v>
      </c>
      <c r="AU29">
        <f>IF(AND($C29&gt;=入力!$AC$24,$C29&lt;=入力!$AD$24,SUM(入力!$AE$24:$AF$24)&gt;0),車_大物家電!AT29,IF(AND($C29&gt;=入力!$AC$25,$C29&lt;=入力!$AD$25,SUM(入力!$AE$25:$AF$25)&gt;0),車_大物家電!AT29,0))</f>
        <v>21.5</v>
      </c>
    </row>
    <row r="30" spans="1:47" x14ac:dyDescent="0.25">
      <c r="A30">
        <f t="shared" si="12"/>
        <v>21</v>
      </c>
      <c r="B30" s="5">
        <f t="shared" si="13"/>
        <v>43</v>
      </c>
      <c r="C30" s="3">
        <f t="shared" si="13"/>
        <v>48</v>
      </c>
      <c r="D30" s="34"/>
      <c r="E30" s="3"/>
      <c r="F30" s="3"/>
      <c r="G30" s="3"/>
      <c r="H30" s="3"/>
      <c r="I30" s="14"/>
      <c r="J30" s="24">
        <f t="shared" si="0"/>
        <v>0</v>
      </c>
      <c r="K30" s="5"/>
      <c r="L30" s="3"/>
      <c r="M30" s="3"/>
      <c r="N30" s="3"/>
      <c r="O30" s="3"/>
      <c r="P30" s="3"/>
      <c r="Q30" s="3"/>
      <c r="R30" s="3"/>
      <c r="S30" s="14"/>
      <c r="T30" s="18">
        <f t="shared" si="1"/>
        <v>0</v>
      </c>
      <c r="U30" s="24">
        <f t="shared" si="2"/>
        <v>0</v>
      </c>
      <c r="V30" s="5"/>
      <c r="W30" s="3"/>
      <c r="X30" s="3"/>
      <c r="Y30" s="3"/>
      <c r="Z30" s="3"/>
      <c r="AA30" s="3"/>
      <c r="AB30" s="14"/>
      <c r="AC30" s="18">
        <f t="shared" si="3"/>
        <v>0</v>
      </c>
      <c r="AD30" s="24">
        <f t="shared" si="4"/>
        <v>0</v>
      </c>
      <c r="AE30" s="5">
        <f t="shared" si="8"/>
        <v>0</v>
      </c>
      <c r="AF30" s="3"/>
      <c r="AG30" s="3">
        <f>IF(MOD(C30,MAX(入力!$AE$29,1))=入力!$AE$29-1,入力!$AD$29,0)
+IF(MOD(C30,MAX(入力!$AE$30,1))=入力!$AE$30-1,入力!$AD$30,0)
+IF(MOD(C30,MAX(入力!$AE$31,1))=入力!$AE$31-1,入力!$AD$31,0)
+IF(MOD(C30,MAX(入力!$AE$32,1))=入力!$AE$32-1,入力!$AD$32,0)
+IF(MOD(C30,MAX(入力!$AE$33,1))=入力!$AE$33-1,入力!$AD$33,0)
+IF(MOD(C30,MAX(入力!$AE$34,1))=入力!$AE$34-1,入力!$AD$34,0)
+IF(MOD(C30,MAX(入力!$AE$35,1))=入力!$AE$35-1,入力!$AD$35,0)</f>
        <v>0</v>
      </c>
      <c r="AH30" s="3">
        <f>IF(AND($C30&gt;=入力!$AC$24,$C30&lt;=入力!$AD$24,MOD(A30,入力!AG$24)=0),入力!$AL$24,IF(AND($C30&gt;=入力!$AC$25,$C30&lt;=入力!$AD$25,MOD(A30,入力!$AG$25)=0),入力!$AL$25,0))</f>
        <v>300</v>
      </c>
      <c r="AI30" s="3">
        <f>IF(AND($C30&gt;=入力!$AC$24,$C30&lt;=入力!$AD$24),入力!$AF$24/60*12,IF(AND($C30&gt;=入力!$AC$25,$C30&lt;=入力!$AD$25),入力!$AF$25/60*12,0))</f>
        <v>0</v>
      </c>
      <c r="AJ30" s="14">
        <f t="shared" si="9"/>
        <v>21.5</v>
      </c>
      <c r="AK30" s="18">
        <f t="shared" si="10"/>
        <v>321.5</v>
      </c>
      <c r="AL30" s="24">
        <f t="shared" si="5"/>
        <v>-321.5</v>
      </c>
      <c r="AM30" s="24">
        <f t="shared" si="6"/>
        <v>-1860.5</v>
      </c>
      <c r="AP30" t="str">
        <f>住居計算!A37</f>
        <v>マンション</v>
      </c>
      <c r="AQ30">
        <f>IF(AND($C30&gt;=入力!$AC$24,$C30&lt;=入力!$AD$24),入力!$AH$24/2,IF(AND($C30&gt;=入力!$AC$25,$C30&lt;=入力!$AD$25),入力!$AH$25/2,0))</f>
        <v>5</v>
      </c>
      <c r="AR30">
        <f>IF(AND($C30&gt;=入力!$AC$24,$C30&lt;=入力!$AD$24),入力!$AI$24,IF(AND($C30&gt;=入力!$AC$25,$C30&lt;=入力!$AD$25),入力!$AI$25,0))</f>
        <v>4.5</v>
      </c>
      <c r="AS30">
        <f>IF(AND($C30&gt;=入力!$AC$24,$C30&lt;=入力!$AD$24),入力!$AJ$24*12,IF(AND($C30&gt;=入力!$AC$25,$C30&lt;=入力!$AD$25),入力!$AJ$25*12,0))</f>
        <v>12</v>
      </c>
      <c r="AT30">
        <f t="shared" si="11"/>
        <v>21.5</v>
      </c>
      <c r="AU30">
        <f>IF(AND($C30&gt;=入力!$AC$24,$C30&lt;=入力!$AD$24,SUM(入力!$AE$24:$AF$24)&gt;0),車_大物家電!AT30,IF(AND($C30&gt;=入力!$AC$25,$C30&lt;=入力!$AD$25,SUM(入力!$AE$25:$AF$25)&gt;0),車_大物家電!AT30,0))</f>
        <v>21.5</v>
      </c>
    </row>
    <row r="31" spans="1:47" x14ac:dyDescent="0.25">
      <c r="A31">
        <f t="shared" si="12"/>
        <v>22</v>
      </c>
      <c r="B31" s="5">
        <f t="shared" si="13"/>
        <v>44</v>
      </c>
      <c r="C31" s="3">
        <f t="shared" si="13"/>
        <v>49</v>
      </c>
      <c r="D31" s="34"/>
      <c r="E31" s="3"/>
      <c r="F31" s="3"/>
      <c r="G31" s="3"/>
      <c r="H31" s="3"/>
      <c r="I31" s="14"/>
      <c r="J31" s="24">
        <f t="shared" si="0"/>
        <v>0</v>
      </c>
      <c r="K31" s="5"/>
      <c r="L31" s="3"/>
      <c r="M31" s="3"/>
      <c r="N31" s="3"/>
      <c r="O31" s="3"/>
      <c r="P31" s="3"/>
      <c r="Q31" s="3"/>
      <c r="R31" s="3"/>
      <c r="S31" s="14"/>
      <c r="T31" s="18">
        <f t="shared" si="1"/>
        <v>0</v>
      </c>
      <c r="U31" s="24">
        <f t="shared" si="2"/>
        <v>0</v>
      </c>
      <c r="V31" s="5"/>
      <c r="W31" s="3"/>
      <c r="X31" s="3"/>
      <c r="Y31" s="3"/>
      <c r="Z31" s="3"/>
      <c r="AA31" s="3"/>
      <c r="AB31" s="14"/>
      <c r="AC31" s="18">
        <f t="shared" si="3"/>
        <v>0</v>
      </c>
      <c r="AD31" s="24">
        <f t="shared" si="4"/>
        <v>0</v>
      </c>
      <c r="AE31" s="5">
        <f t="shared" si="8"/>
        <v>0</v>
      </c>
      <c r="AF31" s="3"/>
      <c r="AG31" s="3">
        <f>IF(MOD(C31,MAX(入力!$AE$29,1))=入力!$AE$29-1,入力!$AD$29,0)
+IF(MOD(C31,MAX(入力!$AE$30,1))=入力!$AE$30-1,入力!$AD$30,0)
+IF(MOD(C31,MAX(入力!$AE$31,1))=入力!$AE$31-1,入力!$AD$31,0)
+IF(MOD(C31,MAX(入力!$AE$32,1))=入力!$AE$32-1,入力!$AD$32,0)
+IF(MOD(C31,MAX(入力!$AE$33,1))=入力!$AE$33-1,入力!$AD$33,0)
+IF(MOD(C31,MAX(入力!$AE$34,1))=入力!$AE$34-1,入力!$AD$34,0)
+IF(MOD(C31,MAX(入力!$AE$35,1))=入力!$AE$35-1,入力!$AD$35,0)</f>
        <v>57</v>
      </c>
      <c r="AH31" s="3">
        <f>IF(AND($C31&gt;=入力!$AC$24,$C31&lt;=入力!$AD$24,MOD(A31,入力!AG$24)=0),入力!$AL$24,IF(AND($C31&gt;=入力!$AC$25,$C31&lt;=入力!$AD$25,MOD(A31,入力!$AG$25)=0),入力!$AL$25,0))</f>
        <v>0</v>
      </c>
      <c r="AI31" s="3">
        <f>IF(AND($C31&gt;=入力!$AC$24,$C31&lt;=入力!$AD$24),入力!$AF$24/60*12,IF(AND($C31&gt;=入力!$AC$25,$C31&lt;=入力!$AD$25),入力!$AF$25/60*12,0))</f>
        <v>0</v>
      </c>
      <c r="AJ31" s="14">
        <f t="shared" si="9"/>
        <v>21.5</v>
      </c>
      <c r="AK31" s="18">
        <f t="shared" si="10"/>
        <v>78.5</v>
      </c>
      <c r="AL31" s="24">
        <f t="shared" si="5"/>
        <v>-78.5</v>
      </c>
      <c r="AM31" s="24">
        <f t="shared" si="6"/>
        <v>-1939</v>
      </c>
      <c r="AP31" t="str">
        <f>住居計算!A38</f>
        <v>マンション</v>
      </c>
      <c r="AQ31">
        <f>IF(AND($C31&gt;=入力!$AC$24,$C31&lt;=入力!$AD$24),入力!$AH$24/2,IF(AND($C31&gt;=入力!$AC$25,$C31&lt;=入力!$AD$25),入力!$AH$25/2,0))</f>
        <v>5</v>
      </c>
      <c r="AR31">
        <f>IF(AND($C31&gt;=入力!$AC$24,$C31&lt;=入力!$AD$24),入力!$AI$24,IF(AND($C31&gt;=入力!$AC$25,$C31&lt;=入力!$AD$25),入力!$AI$25,0))</f>
        <v>4.5</v>
      </c>
      <c r="AS31">
        <f>IF(AND($C31&gt;=入力!$AC$24,$C31&lt;=入力!$AD$24),入力!$AJ$24*12,IF(AND($C31&gt;=入力!$AC$25,$C31&lt;=入力!$AD$25),入力!$AJ$25*12,0))</f>
        <v>12</v>
      </c>
      <c r="AT31">
        <f t="shared" si="11"/>
        <v>21.5</v>
      </c>
      <c r="AU31">
        <f>IF(AND($C31&gt;=入力!$AC$24,$C31&lt;=入力!$AD$24,SUM(入力!$AE$24:$AF$24)&gt;0),車_大物家電!AT31,IF(AND($C31&gt;=入力!$AC$25,$C31&lt;=入力!$AD$25,SUM(入力!$AE$25:$AF$25)&gt;0),車_大物家電!AT31,0))</f>
        <v>21.5</v>
      </c>
    </row>
    <row r="32" spans="1:47" x14ac:dyDescent="0.25">
      <c r="A32">
        <f t="shared" si="12"/>
        <v>23</v>
      </c>
      <c r="B32" s="5">
        <f t="shared" si="13"/>
        <v>45</v>
      </c>
      <c r="C32" s="3">
        <f t="shared" si="13"/>
        <v>50</v>
      </c>
      <c r="D32" s="34"/>
      <c r="E32" s="3"/>
      <c r="F32" s="3"/>
      <c r="G32" s="3"/>
      <c r="H32" s="3"/>
      <c r="I32" s="14"/>
      <c r="J32" s="24">
        <f t="shared" si="0"/>
        <v>0</v>
      </c>
      <c r="K32" s="5"/>
      <c r="L32" s="3"/>
      <c r="M32" s="3"/>
      <c r="N32" s="3"/>
      <c r="O32" s="3"/>
      <c r="P32" s="3"/>
      <c r="Q32" s="3"/>
      <c r="R32" s="3"/>
      <c r="S32" s="14"/>
      <c r="T32" s="18">
        <f t="shared" si="1"/>
        <v>0</v>
      </c>
      <c r="U32" s="24">
        <f t="shared" si="2"/>
        <v>0</v>
      </c>
      <c r="V32" s="5"/>
      <c r="W32" s="3"/>
      <c r="X32" s="3"/>
      <c r="Y32" s="3"/>
      <c r="Z32" s="3"/>
      <c r="AA32" s="3"/>
      <c r="AB32" s="14"/>
      <c r="AC32" s="18">
        <f t="shared" si="3"/>
        <v>0</v>
      </c>
      <c r="AD32" s="24">
        <f t="shared" si="4"/>
        <v>0</v>
      </c>
      <c r="AE32" s="5">
        <f t="shared" si="8"/>
        <v>0</v>
      </c>
      <c r="AF32" s="3"/>
      <c r="AG32" s="3">
        <f>IF(MOD(C32,MAX(入力!$AE$29,1))=入力!$AE$29-1,入力!$AD$29,0)
+IF(MOD(C32,MAX(入力!$AE$30,1))=入力!$AE$30-1,入力!$AD$30,0)
+IF(MOD(C32,MAX(入力!$AE$31,1))=入力!$AE$31-1,入力!$AD$31,0)
+IF(MOD(C32,MAX(入力!$AE$32,1))=入力!$AE$32-1,入力!$AD$32,0)
+IF(MOD(C32,MAX(入力!$AE$33,1))=入力!$AE$33-1,入力!$AD$33,0)
+IF(MOD(C32,MAX(入力!$AE$34,1))=入力!$AE$34-1,入力!$AD$34,0)
+IF(MOD(C32,MAX(入力!$AE$35,1))=入力!$AE$35-1,入力!$AD$35,0)</f>
        <v>0</v>
      </c>
      <c r="AH32" s="3">
        <f>IF(AND($C32&gt;=入力!$AC$24,$C32&lt;=入力!$AD$24,MOD(A32,入力!AG$24)=0),入力!$AL$24,IF(AND($C32&gt;=入力!$AC$25,$C32&lt;=入力!$AD$25,MOD(A32,入力!$AG$25)=0),入力!$AL$25,0))</f>
        <v>0</v>
      </c>
      <c r="AI32" s="3">
        <f>IF(AND($C32&gt;=入力!$AC$24,$C32&lt;=入力!$AD$24),入力!$AF$24/60*12,IF(AND($C32&gt;=入力!$AC$25,$C32&lt;=入力!$AD$25),入力!$AF$25/60*12,0))</f>
        <v>0</v>
      </c>
      <c r="AJ32" s="14">
        <f t="shared" si="9"/>
        <v>21.5</v>
      </c>
      <c r="AK32" s="18">
        <f t="shared" si="10"/>
        <v>21.5</v>
      </c>
      <c r="AL32" s="24">
        <f t="shared" si="5"/>
        <v>-21.5</v>
      </c>
      <c r="AM32" s="24">
        <f t="shared" si="6"/>
        <v>-1960.5</v>
      </c>
      <c r="AP32" t="str">
        <f>住居計算!A39</f>
        <v>マンション</v>
      </c>
      <c r="AQ32">
        <f>IF(AND($C32&gt;=入力!$AC$24,$C32&lt;=入力!$AD$24),入力!$AH$24/2,IF(AND($C32&gt;=入力!$AC$25,$C32&lt;=入力!$AD$25),入力!$AH$25/2,0))</f>
        <v>5</v>
      </c>
      <c r="AR32">
        <f>IF(AND($C32&gt;=入力!$AC$24,$C32&lt;=入力!$AD$24),入力!$AI$24,IF(AND($C32&gt;=入力!$AC$25,$C32&lt;=入力!$AD$25),入力!$AI$25,0))</f>
        <v>4.5</v>
      </c>
      <c r="AS32">
        <f>IF(AND($C32&gt;=入力!$AC$24,$C32&lt;=入力!$AD$24),入力!$AJ$24*12,IF(AND($C32&gt;=入力!$AC$25,$C32&lt;=入力!$AD$25),入力!$AJ$25*12,0))</f>
        <v>12</v>
      </c>
      <c r="AT32">
        <f t="shared" si="11"/>
        <v>21.5</v>
      </c>
      <c r="AU32">
        <f>IF(AND($C32&gt;=入力!$AC$24,$C32&lt;=入力!$AD$24,SUM(入力!$AE$24:$AF$24)&gt;0),車_大物家電!AT32,IF(AND($C32&gt;=入力!$AC$25,$C32&lt;=入力!$AD$25,SUM(入力!$AE$25:$AF$25)&gt;0),車_大物家電!AT32,0))</f>
        <v>21.5</v>
      </c>
    </row>
    <row r="33" spans="1:47" x14ac:dyDescent="0.25">
      <c r="A33">
        <f t="shared" si="12"/>
        <v>24</v>
      </c>
      <c r="B33" s="5">
        <f t="shared" si="13"/>
        <v>46</v>
      </c>
      <c r="C33" s="3">
        <f t="shared" si="13"/>
        <v>51</v>
      </c>
      <c r="D33" s="34"/>
      <c r="E33" s="3"/>
      <c r="F33" s="3"/>
      <c r="G33" s="3"/>
      <c r="H33" s="3"/>
      <c r="I33" s="14"/>
      <c r="J33" s="24">
        <f t="shared" si="0"/>
        <v>0</v>
      </c>
      <c r="K33" s="5"/>
      <c r="L33" s="3"/>
      <c r="M33" s="3"/>
      <c r="N33" s="3"/>
      <c r="O33" s="3"/>
      <c r="P33" s="3"/>
      <c r="Q33" s="3"/>
      <c r="R33" s="3"/>
      <c r="S33" s="14"/>
      <c r="T33" s="18">
        <f t="shared" si="1"/>
        <v>0</v>
      </c>
      <c r="U33" s="24">
        <f t="shared" si="2"/>
        <v>0</v>
      </c>
      <c r="V33" s="5"/>
      <c r="W33" s="3"/>
      <c r="X33" s="3"/>
      <c r="Y33" s="3"/>
      <c r="Z33" s="3"/>
      <c r="AA33" s="3"/>
      <c r="AB33" s="14"/>
      <c r="AC33" s="18">
        <f t="shared" si="3"/>
        <v>0</v>
      </c>
      <c r="AD33" s="24">
        <f t="shared" si="4"/>
        <v>0</v>
      </c>
      <c r="AE33" s="5">
        <f t="shared" si="8"/>
        <v>0</v>
      </c>
      <c r="AF33" s="3"/>
      <c r="AG33" s="3">
        <f>IF(MOD(C33,MAX(入力!$AE$29,1))=入力!$AE$29-1,入力!$AD$29,0)
+IF(MOD(C33,MAX(入力!$AE$30,1))=入力!$AE$30-1,入力!$AD$30,0)
+IF(MOD(C33,MAX(入力!$AE$31,1))=入力!$AE$31-1,入力!$AD$31,0)
+IF(MOD(C33,MAX(入力!$AE$32,1))=入力!$AE$32-1,入力!$AD$32,0)
+IF(MOD(C33,MAX(入力!$AE$33,1))=入力!$AE$33-1,入力!$AD$33,0)
+IF(MOD(C33,MAX(入力!$AE$34,1))=入力!$AE$34-1,入力!$AD$34,0)
+IF(MOD(C33,MAX(入力!$AE$35,1))=入力!$AE$35-1,入力!$AD$35,0)</f>
        <v>0</v>
      </c>
      <c r="AH33" s="3">
        <f>IF(AND($C33&gt;=入力!$AC$24,$C33&lt;=入力!$AD$24,MOD(A33,入力!AG$24)=0),入力!$AL$24,IF(AND($C33&gt;=入力!$AC$25,$C33&lt;=入力!$AD$25,MOD(A33,入力!$AG$25)=0),入力!$AL$25,0))</f>
        <v>0</v>
      </c>
      <c r="AI33" s="3">
        <f>IF(AND($C33&gt;=入力!$AC$24,$C33&lt;=入力!$AD$24),入力!$AF$24/60*12,IF(AND($C33&gt;=入力!$AC$25,$C33&lt;=入力!$AD$25),入力!$AF$25/60*12,0))</f>
        <v>0</v>
      </c>
      <c r="AJ33" s="14">
        <f t="shared" si="9"/>
        <v>21.5</v>
      </c>
      <c r="AK33" s="18">
        <f t="shared" si="10"/>
        <v>21.5</v>
      </c>
      <c r="AL33" s="24">
        <f t="shared" si="5"/>
        <v>-21.5</v>
      </c>
      <c r="AM33" s="24">
        <f t="shared" si="6"/>
        <v>-1982</v>
      </c>
      <c r="AP33" t="str">
        <f>住居計算!A40</f>
        <v>マンション</v>
      </c>
      <c r="AQ33">
        <f>IF(AND($C33&gt;=入力!$AC$24,$C33&lt;=入力!$AD$24),入力!$AH$24/2,IF(AND($C33&gt;=入力!$AC$25,$C33&lt;=入力!$AD$25),入力!$AH$25/2,0))</f>
        <v>5</v>
      </c>
      <c r="AR33">
        <f>IF(AND($C33&gt;=入力!$AC$24,$C33&lt;=入力!$AD$24),入力!$AI$24,IF(AND($C33&gt;=入力!$AC$25,$C33&lt;=入力!$AD$25),入力!$AI$25,0))</f>
        <v>4.5</v>
      </c>
      <c r="AS33">
        <f>IF(AND($C33&gt;=入力!$AC$24,$C33&lt;=入力!$AD$24),入力!$AJ$24*12,IF(AND($C33&gt;=入力!$AC$25,$C33&lt;=入力!$AD$25),入力!$AJ$25*12,0))</f>
        <v>12</v>
      </c>
      <c r="AT33">
        <f t="shared" si="11"/>
        <v>21.5</v>
      </c>
      <c r="AU33">
        <f>IF(AND($C33&gt;=入力!$AC$24,$C33&lt;=入力!$AD$24,SUM(入力!$AE$24:$AF$24)&gt;0),車_大物家電!AT33,IF(AND($C33&gt;=入力!$AC$25,$C33&lt;=入力!$AD$25,SUM(入力!$AE$25:$AF$25)&gt;0),車_大物家電!AT33,0))</f>
        <v>21.5</v>
      </c>
    </row>
    <row r="34" spans="1:47" x14ac:dyDescent="0.25">
      <c r="A34">
        <f t="shared" si="12"/>
        <v>25</v>
      </c>
      <c r="B34" s="5">
        <f t="shared" si="13"/>
        <v>47</v>
      </c>
      <c r="C34" s="3">
        <f t="shared" si="13"/>
        <v>52</v>
      </c>
      <c r="D34" s="34"/>
      <c r="E34" s="3"/>
      <c r="F34" s="3"/>
      <c r="G34" s="3"/>
      <c r="H34" s="3"/>
      <c r="I34" s="14"/>
      <c r="J34" s="24">
        <f t="shared" si="0"/>
        <v>0</v>
      </c>
      <c r="K34" s="5"/>
      <c r="L34" s="3"/>
      <c r="M34" s="3"/>
      <c r="N34" s="3"/>
      <c r="O34" s="3"/>
      <c r="P34" s="3"/>
      <c r="Q34" s="3"/>
      <c r="R34" s="3"/>
      <c r="S34" s="14"/>
      <c r="T34" s="18">
        <f t="shared" si="1"/>
        <v>0</v>
      </c>
      <c r="U34" s="24">
        <f t="shared" si="2"/>
        <v>0</v>
      </c>
      <c r="V34" s="5"/>
      <c r="W34" s="3"/>
      <c r="X34" s="3"/>
      <c r="Y34" s="3"/>
      <c r="Z34" s="3"/>
      <c r="AA34" s="3"/>
      <c r="AB34" s="14"/>
      <c r="AC34" s="18">
        <f t="shared" si="3"/>
        <v>0</v>
      </c>
      <c r="AD34" s="24">
        <f t="shared" si="4"/>
        <v>0</v>
      </c>
      <c r="AE34" s="5">
        <f t="shared" si="8"/>
        <v>0</v>
      </c>
      <c r="AF34" s="3"/>
      <c r="AG34" s="3">
        <f>IF(MOD(C34,MAX(入力!$AE$29,1))=入力!$AE$29-1,入力!$AD$29,0)
+IF(MOD(C34,MAX(入力!$AE$30,1))=入力!$AE$30-1,入力!$AD$30,0)
+IF(MOD(C34,MAX(入力!$AE$31,1))=入力!$AE$31-1,入力!$AD$31,0)
+IF(MOD(C34,MAX(入力!$AE$32,1))=入力!$AE$32-1,入力!$AD$32,0)
+IF(MOD(C34,MAX(入力!$AE$33,1))=入力!$AE$33-1,入力!$AD$33,0)
+IF(MOD(C34,MAX(入力!$AE$34,1))=入力!$AE$34-1,入力!$AD$34,0)
+IF(MOD(C34,MAX(入力!$AE$35,1))=入力!$AE$35-1,入力!$AD$35,0)</f>
        <v>0</v>
      </c>
      <c r="AH34" s="3">
        <f>IF(AND($C34&gt;=入力!$AC$24,$C34&lt;=入力!$AD$24,MOD(A34,入力!AG$24)=0),入力!$AL$24,IF(AND($C34&gt;=入力!$AC$25,$C34&lt;=入力!$AD$25,MOD(A34,入力!$AG$25)=0),入力!$AL$25,0))</f>
        <v>0</v>
      </c>
      <c r="AI34" s="3">
        <f>IF(AND($C34&gt;=入力!$AC$24,$C34&lt;=入力!$AD$24),入力!$AF$24/60*12,IF(AND($C34&gt;=入力!$AC$25,$C34&lt;=入力!$AD$25),入力!$AF$25/60*12,0))</f>
        <v>0</v>
      </c>
      <c r="AJ34" s="14">
        <f t="shared" si="9"/>
        <v>21.5</v>
      </c>
      <c r="AK34" s="18">
        <f t="shared" si="10"/>
        <v>21.5</v>
      </c>
      <c r="AL34" s="24">
        <f t="shared" si="5"/>
        <v>-21.5</v>
      </c>
      <c r="AM34" s="24">
        <f t="shared" si="6"/>
        <v>-2003.5</v>
      </c>
      <c r="AP34" t="str">
        <f>住居計算!A41</f>
        <v>マンション</v>
      </c>
      <c r="AQ34">
        <f>IF(AND($C34&gt;=入力!$AC$24,$C34&lt;=入力!$AD$24),入力!$AH$24/2,IF(AND($C34&gt;=入力!$AC$25,$C34&lt;=入力!$AD$25),入力!$AH$25/2,0))</f>
        <v>5</v>
      </c>
      <c r="AR34">
        <f>IF(AND($C34&gt;=入力!$AC$24,$C34&lt;=入力!$AD$24),入力!$AI$24,IF(AND($C34&gt;=入力!$AC$25,$C34&lt;=入力!$AD$25),入力!$AI$25,0))</f>
        <v>4.5</v>
      </c>
      <c r="AS34">
        <f>IF(AND($C34&gt;=入力!$AC$24,$C34&lt;=入力!$AD$24),入力!$AJ$24*12,IF(AND($C34&gt;=入力!$AC$25,$C34&lt;=入力!$AD$25),入力!$AJ$25*12,0))</f>
        <v>12</v>
      </c>
      <c r="AT34">
        <f t="shared" si="11"/>
        <v>21.5</v>
      </c>
      <c r="AU34">
        <f>IF(AND($C34&gt;=入力!$AC$24,$C34&lt;=入力!$AD$24,SUM(入力!$AE$24:$AF$24)&gt;0),車_大物家電!AT34,IF(AND($C34&gt;=入力!$AC$25,$C34&lt;=入力!$AD$25,SUM(入力!$AE$25:$AF$25)&gt;0),車_大物家電!AT34,0))</f>
        <v>21.5</v>
      </c>
    </row>
    <row r="35" spans="1:47" x14ac:dyDescent="0.25">
      <c r="A35">
        <f t="shared" si="12"/>
        <v>26</v>
      </c>
      <c r="B35" s="5">
        <f t="shared" si="13"/>
        <v>48</v>
      </c>
      <c r="C35" s="3">
        <f t="shared" si="13"/>
        <v>53</v>
      </c>
      <c r="D35" s="34"/>
      <c r="E35" s="3"/>
      <c r="F35" s="3"/>
      <c r="G35" s="3"/>
      <c r="H35" s="3"/>
      <c r="I35" s="14"/>
      <c r="J35" s="24">
        <f t="shared" si="0"/>
        <v>0</v>
      </c>
      <c r="K35" s="5"/>
      <c r="L35" s="3"/>
      <c r="M35" s="3"/>
      <c r="N35" s="3"/>
      <c r="O35" s="3"/>
      <c r="P35" s="3"/>
      <c r="Q35" s="3"/>
      <c r="R35" s="3"/>
      <c r="S35" s="14"/>
      <c r="T35" s="18">
        <f t="shared" si="1"/>
        <v>0</v>
      </c>
      <c r="U35" s="24">
        <f t="shared" si="2"/>
        <v>0</v>
      </c>
      <c r="V35" s="5"/>
      <c r="W35" s="3"/>
      <c r="X35" s="3"/>
      <c r="Y35" s="3"/>
      <c r="Z35" s="3"/>
      <c r="AA35" s="3"/>
      <c r="AB35" s="14"/>
      <c r="AC35" s="18">
        <f t="shared" si="3"/>
        <v>0</v>
      </c>
      <c r="AD35" s="24">
        <f t="shared" si="4"/>
        <v>0</v>
      </c>
      <c r="AE35" s="5">
        <f t="shared" si="8"/>
        <v>0</v>
      </c>
      <c r="AF35" s="3"/>
      <c r="AG35" s="3">
        <f>IF(MOD(C35,MAX(入力!$AE$29,1))=入力!$AE$29-1,入力!$AD$29,0)
+IF(MOD(C35,MAX(入力!$AE$30,1))=入力!$AE$30-1,入力!$AD$30,0)
+IF(MOD(C35,MAX(入力!$AE$31,1))=入力!$AE$31-1,入力!$AD$31,0)
+IF(MOD(C35,MAX(入力!$AE$32,1))=入力!$AE$32-1,入力!$AD$32,0)
+IF(MOD(C35,MAX(入力!$AE$33,1))=入力!$AE$33-1,入力!$AD$33,0)
+IF(MOD(C35,MAX(入力!$AE$34,1))=入力!$AE$34-1,入力!$AD$34,0)
+IF(MOD(C35,MAX(入力!$AE$35,1))=入力!$AE$35-1,入力!$AD$35,0)</f>
        <v>0</v>
      </c>
      <c r="AH35" s="3">
        <f>IF(AND($C35&gt;=入力!$AC$24,$C35&lt;=入力!$AD$24,MOD(A35,入力!AG$24)=0),入力!$AL$24,IF(AND($C35&gt;=入力!$AC$25,$C35&lt;=入力!$AD$25,MOD(A35,入力!$AG$25)=0),入力!$AL$25,0))</f>
        <v>0</v>
      </c>
      <c r="AI35" s="3">
        <f>IF(AND($C35&gt;=入力!$AC$24,$C35&lt;=入力!$AD$24),入力!$AF$24/60*12,IF(AND($C35&gt;=入力!$AC$25,$C35&lt;=入力!$AD$25),入力!$AF$25/60*12,0))</f>
        <v>0</v>
      </c>
      <c r="AJ35" s="14">
        <f t="shared" si="9"/>
        <v>21.5</v>
      </c>
      <c r="AK35" s="18">
        <f t="shared" si="10"/>
        <v>21.5</v>
      </c>
      <c r="AL35" s="24">
        <f t="shared" si="5"/>
        <v>-21.5</v>
      </c>
      <c r="AM35" s="24">
        <f t="shared" si="6"/>
        <v>-2025</v>
      </c>
      <c r="AP35" t="str">
        <f>住居計算!A42</f>
        <v>マンション</v>
      </c>
      <c r="AQ35">
        <f>IF(AND($C35&gt;=入力!$AC$24,$C35&lt;=入力!$AD$24),入力!$AH$24/2,IF(AND($C35&gt;=入力!$AC$25,$C35&lt;=入力!$AD$25),入力!$AH$25/2,0))</f>
        <v>5</v>
      </c>
      <c r="AR35">
        <f>IF(AND($C35&gt;=入力!$AC$24,$C35&lt;=入力!$AD$24),入力!$AI$24,IF(AND($C35&gt;=入力!$AC$25,$C35&lt;=入力!$AD$25),入力!$AI$25,0))</f>
        <v>4.5</v>
      </c>
      <c r="AS35">
        <f>IF(AND($C35&gt;=入力!$AC$24,$C35&lt;=入力!$AD$24),入力!$AJ$24*12,IF(AND($C35&gt;=入力!$AC$25,$C35&lt;=入力!$AD$25),入力!$AJ$25*12,0))</f>
        <v>12</v>
      </c>
      <c r="AT35">
        <f t="shared" si="11"/>
        <v>21.5</v>
      </c>
      <c r="AU35">
        <f>IF(AND($C35&gt;=入力!$AC$24,$C35&lt;=入力!$AD$24,SUM(入力!$AE$24:$AF$24)&gt;0),車_大物家電!AT35,IF(AND($C35&gt;=入力!$AC$25,$C35&lt;=入力!$AD$25,SUM(入力!$AE$25:$AF$25)&gt;0),車_大物家電!AT35,0))</f>
        <v>21.5</v>
      </c>
    </row>
    <row r="36" spans="1:47" x14ac:dyDescent="0.25">
      <c r="A36">
        <f t="shared" si="12"/>
        <v>27</v>
      </c>
      <c r="B36" s="5">
        <f t="shared" si="13"/>
        <v>49</v>
      </c>
      <c r="C36" s="3">
        <f t="shared" si="13"/>
        <v>54</v>
      </c>
      <c r="D36" s="34"/>
      <c r="E36" s="3"/>
      <c r="F36" s="3"/>
      <c r="G36" s="3"/>
      <c r="H36" s="3"/>
      <c r="I36" s="14"/>
      <c r="J36" s="24">
        <f t="shared" si="0"/>
        <v>0</v>
      </c>
      <c r="K36" s="5"/>
      <c r="L36" s="3"/>
      <c r="M36" s="3"/>
      <c r="N36" s="3"/>
      <c r="O36" s="3"/>
      <c r="P36" s="3"/>
      <c r="Q36" s="3"/>
      <c r="R36" s="3"/>
      <c r="S36" s="14"/>
      <c r="T36" s="18">
        <f t="shared" si="1"/>
        <v>0</v>
      </c>
      <c r="U36" s="24">
        <f t="shared" si="2"/>
        <v>0</v>
      </c>
      <c r="V36" s="5"/>
      <c r="W36" s="3"/>
      <c r="X36" s="3"/>
      <c r="Y36" s="3"/>
      <c r="Z36" s="3"/>
      <c r="AA36" s="3"/>
      <c r="AB36" s="14"/>
      <c r="AC36" s="18">
        <f t="shared" si="3"/>
        <v>0</v>
      </c>
      <c r="AD36" s="24">
        <f t="shared" si="4"/>
        <v>0</v>
      </c>
      <c r="AE36" s="5">
        <f t="shared" si="8"/>
        <v>0</v>
      </c>
      <c r="AF36" s="3"/>
      <c r="AG36" s="3">
        <f>IF(MOD(C36,MAX(入力!$AE$29,1))=入力!$AE$29-1,入力!$AD$29,0)
+IF(MOD(C36,MAX(入力!$AE$30,1))=入力!$AE$30-1,入力!$AD$30,0)
+IF(MOD(C36,MAX(入力!$AE$31,1))=入力!$AE$31-1,入力!$AD$31,0)
+IF(MOD(C36,MAX(入力!$AE$32,1))=入力!$AE$32-1,入力!$AD$32,0)
+IF(MOD(C36,MAX(入力!$AE$33,1))=入力!$AE$33-1,入力!$AD$33,0)
+IF(MOD(C36,MAX(入力!$AE$34,1))=入力!$AE$34-1,入力!$AD$34,0)
+IF(MOD(C36,MAX(入力!$AE$35,1))=入力!$AE$35-1,入力!$AD$35,0)</f>
        <v>3</v>
      </c>
      <c r="AH36" s="3">
        <f>IF(AND($C36&gt;=入力!$AC$24,$C36&lt;=入力!$AD$24,MOD(A36,入力!AG$24)=0),入力!$AL$24,IF(AND($C36&gt;=入力!$AC$25,$C36&lt;=入力!$AD$25,MOD(A36,入力!$AG$25)=0),入力!$AL$25,0))</f>
        <v>0</v>
      </c>
      <c r="AI36" s="3">
        <f>IF(AND($C36&gt;=入力!$AC$24,$C36&lt;=入力!$AD$24),入力!$AF$24/60*12,IF(AND($C36&gt;=入力!$AC$25,$C36&lt;=入力!$AD$25),入力!$AF$25/60*12,0))</f>
        <v>0</v>
      </c>
      <c r="AJ36" s="14">
        <f t="shared" si="9"/>
        <v>21.5</v>
      </c>
      <c r="AK36" s="18">
        <f t="shared" si="10"/>
        <v>24.5</v>
      </c>
      <c r="AL36" s="24">
        <f t="shared" si="5"/>
        <v>-24.5</v>
      </c>
      <c r="AM36" s="24">
        <f t="shared" si="6"/>
        <v>-2049.5</v>
      </c>
      <c r="AP36" t="str">
        <f>住居計算!A43</f>
        <v>マンション</v>
      </c>
      <c r="AQ36">
        <f>IF(AND($C36&gt;=入力!$AC$24,$C36&lt;=入力!$AD$24),入力!$AH$24/2,IF(AND($C36&gt;=入力!$AC$25,$C36&lt;=入力!$AD$25),入力!$AH$25/2,0))</f>
        <v>5</v>
      </c>
      <c r="AR36">
        <f>IF(AND($C36&gt;=入力!$AC$24,$C36&lt;=入力!$AD$24),入力!$AI$24,IF(AND($C36&gt;=入力!$AC$25,$C36&lt;=入力!$AD$25),入力!$AI$25,0))</f>
        <v>4.5</v>
      </c>
      <c r="AS36">
        <f>IF(AND($C36&gt;=入力!$AC$24,$C36&lt;=入力!$AD$24),入力!$AJ$24*12,IF(AND($C36&gt;=入力!$AC$25,$C36&lt;=入力!$AD$25),入力!$AJ$25*12,0))</f>
        <v>12</v>
      </c>
      <c r="AT36">
        <f t="shared" si="11"/>
        <v>21.5</v>
      </c>
      <c r="AU36">
        <f>IF(AND($C36&gt;=入力!$AC$24,$C36&lt;=入力!$AD$24,SUM(入力!$AE$24:$AF$24)&gt;0),車_大物家電!AT36,IF(AND($C36&gt;=入力!$AC$25,$C36&lt;=入力!$AD$25,SUM(入力!$AE$25:$AF$25)&gt;0),車_大物家電!AT36,0))</f>
        <v>21.5</v>
      </c>
    </row>
    <row r="37" spans="1:47" x14ac:dyDescent="0.25">
      <c r="A37">
        <f t="shared" si="12"/>
        <v>28</v>
      </c>
      <c r="B37" s="5">
        <f t="shared" si="13"/>
        <v>50</v>
      </c>
      <c r="C37" s="3">
        <f t="shared" si="13"/>
        <v>55</v>
      </c>
      <c r="D37" s="34"/>
      <c r="E37" s="3"/>
      <c r="F37" s="3"/>
      <c r="G37" s="3"/>
      <c r="H37" s="3"/>
      <c r="I37" s="14"/>
      <c r="J37" s="24">
        <f t="shared" si="0"/>
        <v>0</v>
      </c>
      <c r="K37" s="5"/>
      <c r="L37" s="3"/>
      <c r="M37" s="3"/>
      <c r="N37" s="3"/>
      <c r="O37" s="3"/>
      <c r="P37" s="3"/>
      <c r="Q37" s="3"/>
      <c r="R37" s="3"/>
      <c r="S37" s="14"/>
      <c r="T37" s="18">
        <f t="shared" si="1"/>
        <v>0</v>
      </c>
      <c r="U37" s="24">
        <f t="shared" si="2"/>
        <v>0</v>
      </c>
      <c r="V37" s="5"/>
      <c r="W37" s="3"/>
      <c r="X37" s="3"/>
      <c r="Y37" s="3"/>
      <c r="Z37" s="3"/>
      <c r="AA37" s="3"/>
      <c r="AB37" s="14"/>
      <c r="AC37" s="18">
        <f t="shared" si="3"/>
        <v>0</v>
      </c>
      <c r="AD37" s="24">
        <f t="shared" si="4"/>
        <v>0</v>
      </c>
      <c r="AE37" s="5">
        <f t="shared" si="8"/>
        <v>0</v>
      </c>
      <c r="AF37" s="3"/>
      <c r="AG37" s="3">
        <f>IF(MOD(C37,MAX(入力!$AE$29,1))=入力!$AE$29-1,入力!$AD$29,0)
+IF(MOD(C37,MAX(入力!$AE$30,1))=入力!$AE$30-1,入力!$AD$30,0)
+IF(MOD(C37,MAX(入力!$AE$31,1))=入力!$AE$31-1,入力!$AD$31,0)
+IF(MOD(C37,MAX(入力!$AE$32,1))=入力!$AE$32-1,入力!$AD$32,0)
+IF(MOD(C37,MAX(入力!$AE$33,1))=入力!$AE$33-1,入力!$AD$33,0)
+IF(MOD(C37,MAX(入力!$AE$34,1))=入力!$AE$34-1,入力!$AD$34,0)
+IF(MOD(C37,MAX(入力!$AE$35,1))=入力!$AE$35-1,入力!$AD$35,0)</f>
        <v>0</v>
      </c>
      <c r="AH37" s="3">
        <f>IF(AND($C37&gt;=入力!$AC$24,$C37&lt;=入力!$AD$24,MOD(A37,入力!AG$24)=0),入力!$AL$24,IF(AND($C37&gt;=入力!$AC$25,$C37&lt;=入力!$AD$25,MOD(A37,入力!$AG$25)=0),入力!$AL$25,0))</f>
        <v>300</v>
      </c>
      <c r="AI37" s="3">
        <f>IF(AND($C37&gt;=入力!$AC$24,$C37&lt;=入力!$AD$24),入力!$AF$24/60*12,IF(AND($C37&gt;=入力!$AC$25,$C37&lt;=入力!$AD$25),入力!$AF$25/60*12,0))</f>
        <v>0</v>
      </c>
      <c r="AJ37" s="14">
        <f t="shared" si="9"/>
        <v>21.5</v>
      </c>
      <c r="AK37" s="18">
        <f t="shared" si="10"/>
        <v>321.5</v>
      </c>
      <c r="AL37" s="24">
        <f t="shared" si="5"/>
        <v>-321.5</v>
      </c>
      <c r="AM37" s="24">
        <f t="shared" si="6"/>
        <v>-2371</v>
      </c>
      <c r="AP37" t="str">
        <f>住居計算!A44</f>
        <v>マンション</v>
      </c>
      <c r="AQ37">
        <f>IF(AND($C37&gt;=入力!$AC$24,$C37&lt;=入力!$AD$24),入力!$AH$24/2,IF(AND($C37&gt;=入力!$AC$25,$C37&lt;=入力!$AD$25),入力!$AH$25/2,0))</f>
        <v>5</v>
      </c>
      <c r="AR37">
        <f>IF(AND($C37&gt;=入力!$AC$24,$C37&lt;=入力!$AD$24),入力!$AI$24,IF(AND($C37&gt;=入力!$AC$25,$C37&lt;=入力!$AD$25),入力!$AI$25,0))</f>
        <v>4.5</v>
      </c>
      <c r="AS37">
        <f>IF(AND($C37&gt;=入力!$AC$24,$C37&lt;=入力!$AD$24),入力!$AJ$24*12,IF(AND($C37&gt;=入力!$AC$25,$C37&lt;=入力!$AD$25),入力!$AJ$25*12,0))</f>
        <v>12</v>
      </c>
      <c r="AT37">
        <f t="shared" si="11"/>
        <v>21.5</v>
      </c>
      <c r="AU37">
        <f>IF(AND($C37&gt;=入力!$AC$24,$C37&lt;=入力!$AD$24,SUM(入力!$AE$24:$AF$24)&gt;0),車_大物家電!AT37,IF(AND($C37&gt;=入力!$AC$25,$C37&lt;=入力!$AD$25,SUM(入力!$AE$25:$AF$25)&gt;0),車_大物家電!AT37,0))</f>
        <v>21.5</v>
      </c>
    </row>
    <row r="38" spans="1:47" x14ac:dyDescent="0.25">
      <c r="A38">
        <f t="shared" si="12"/>
        <v>29</v>
      </c>
      <c r="B38" s="5">
        <f t="shared" si="13"/>
        <v>51</v>
      </c>
      <c r="C38" s="3">
        <f t="shared" si="13"/>
        <v>56</v>
      </c>
      <c r="D38" s="34"/>
      <c r="E38" s="3"/>
      <c r="F38" s="3"/>
      <c r="G38" s="3"/>
      <c r="H38" s="3"/>
      <c r="I38" s="14"/>
      <c r="J38" s="24">
        <f t="shared" si="0"/>
        <v>0</v>
      </c>
      <c r="K38" s="5"/>
      <c r="L38" s="3"/>
      <c r="M38" s="3"/>
      <c r="N38" s="3"/>
      <c r="O38" s="3"/>
      <c r="P38" s="3"/>
      <c r="Q38" s="3"/>
      <c r="R38" s="3"/>
      <c r="S38" s="14"/>
      <c r="T38" s="18">
        <f t="shared" si="1"/>
        <v>0</v>
      </c>
      <c r="U38" s="24">
        <f t="shared" si="2"/>
        <v>0</v>
      </c>
      <c r="V38" s="5"/>
      <c r="W38" s="3"/>
      <c r="X38" s="3"/>
      <c r="Y38" s="3"/>
      <c r="Z38" s="3"/>
      <c r="AA38" s="3"/>
      <c r="AB38" s="14"/>
      <c r="AC38" s="18">
        <f t="shared" si="3"/>
        <v>0</v>
      </c>
      <c r="AD38" s="24">
        <f t="shared" si="4"/>
        <v>0</v>
      </c>
      <c r="AE38" s="5">
        <f t="shared" si="8"/>
        <v>0</v>
      </c>
      <c r="AF38" s="3"/>
      <c r="AG38" s="3">
        <f>IF(MOD(C38,MAX(入力!$AE$29,1))=入力!$AE$29-1,入力!$AD$29,0)
+IF(MOD(C38,MAX(入力!$AE$30,1))=入力!$AE$30-1,入力!$AD$30,0)
+IF(MOD(C38,MAX(入力!$AE$31,1))=入力!$AE$31-1,入力!$AD$31,0)
+IF(MOD(C38,MAX(入力!$AE$32,1))=入力!$AE$32-1,入力!$AD$32,0)
+IF(MOD(C38,MAX(入力!$AE$33,1))=入力!$AE$33-1,入力!$AD$33,0)
+IF(MOD(C38,MAX(入力!$AE$34,1))=入力!$AE$34-1,入力!$AD$34,0)
+IF(MOD(C38,MAX(入力!$AE$35,1))=入力!$AE$35-1,入力!$AD$35,0)</f>
        <v>0</v>
      </c>
      <c r="AH38" s="3">
        <f>IF(AND($C38&gt;=入力!$AC$24,$C38&lt;=入力!$AD$24,MOD(A38,入力!AG$24)=0),入力!$AL$24,IF(AND($C38&gt;=入力!$AC$25,$C38&lt;=入力!$AD$25,MOD(A38,入力!$AG$25)=0),入力!$AL$25,0))</f>
        <v>0</v>
      </c>
      <c r="AI38" s="3">
        <f>IF(AND($C38&gt;=入力!$AC$24,$C38&lt;=入力!$AD$24),入力!$AF$24/60*12,IF(AND($C38&gt;=入力!$AC$25,$C38&lt;=入力!$AD$25),入力!$AF$25/60*12,0))</f>
        <v>0</v>
      </c>
      <c r="AJ38" s="14">
        <f t="shared" si="9"/>
        <v>21.5</v>
      </c>
      <c r="AK38" s="18">
        <f t="shared" si="10"/>
        <v>21.5</v>
      </c>
      <c r="AL38" s="24">
        <f t="shared" si="5"/>
        <v>-21.5</v>
      </c>
      <c r="AM38" s="24">
        <f t="shared" si="6"/>
        <v>-2392.5</v>
      </c>
      <c r="AP38" t="str">
        <f>住居計算!A45</f>
        <v>マンション</v>
      </c>
      <c r="AQ38">
        <f>IF(AND($C38&gt;=入力!$AC$24,$C38&lt;=入力!$AD$24),入力!$AH$24/2,IF(AND($C38&gt;=入力!$AC$25,$C38&lt;=入力!$AD$25),入力!$AH$25/2,0))</f>
        <v>5</v>
      </c>
      <c r="AR38">
        <f>IF(AND($C38&gt;=入力!$AC$24,$C38&lt;=入力!$AD$24),入力!$AI$24,IF(AND($C38&gt;=入力!$AC$25,$C38&lt;=入力!$AD$25),入力!$AI$25,0))</f>
        <v>4.5</v>
      </c>
      <c r="AS38">
        <f>IF(AND($C38&gt;=入力!$AC$24,$C38&lt;=入力!$AD$24),入力!$AJ$24*12,IF(AND($C38&gt;=入力!$AC$25,$C38&lt;=入力!$AD$25),入力!$AJ$25*12,0))</f>
        <v>12</v>
      </c>
      <c r="AT38">
        <f t="shared" si="11"/>
        <v>21.5</v>
      </c>
      <c r="AU38">
        <f>IF(AND($C38&gt;=入力!$AC$24,$C38&lt;=入力!$AD$24,SUM(入力!$AE$24:$AF$24)&gt;0),車_大物家電!AT38,IF(AND($C38&gt;=入力!$AC$25,$C38&lt;=入力!$AD$25,SUM(入力!$AE$25:$AF$25)&gt;0),車_大物家電!AT38,0))</f>
        <v>21.5</v>
      </c>
    </row>
    <row r="39" spans="1:47" x14ac:dyDescent="0.25">
      <c r="A39">
        <f t="shared" si="12"/>
        <v>30</v>
      </c>
      <c r="B39" s="5">
        <f t="shared" ref="B39:C54" si="14">B38+1</f>
        <v>52</v>
      </c>
      <c r="C39" s="3">
        <f t="shared" si="14"/>
        <v>57</v>
      </c>
      <c r="D39" s="34"/>
      <c r="E39" s="3"/>
      <c r="F39" s="3"/>
      <c r="G39" s="3"/>
      <c r="H39" s="3"/>
      <c r="I39" s="14"/>
      <c r="J39" s="24">
        <f t="shared" si="0"/>
        <v>0</v>
      </c>
      <c r="K39" s="5"/>
      <c r="L39" s="3"/>
      <c r="M39" s="3"/>
      <c r="N39" s="3"/>
      <c r="O39" s="3"/>
      <c r="P39" s="3"/>
      <c r="Q39" s="3"/>
      <c r="R39" s="3"/>
      <c r="S39" s="14"/>
      <c r="T39" s="18">
        <f t="shared" si="1"/>
        <v>0</v>
      </c>
      <c r="U39" s="24">
        <f t="shared" si="2"/>
        <v>0</v>
      </c>
      <c r="V39" s="5"/>
      <c r="W39" s="3"/>
      <c r="X39" s="3"/>
      <c r="Y39" s="3"/>
      <c r="Z39" s="3"/>
      <c r="AA39" s="3"/>
      <c r="AB39" s="14"/>
      <c r="AC39" s="18">
        <f t="shared" si="3"/>
        <v>0</v>
      </c>
      <c r="AD39" s="24">
        <f t="shared" si="4"/>
        <v>0</v>
      </c>
      <c r="AE39" s="5">
        <f t="shared" si="8"/>
        <v>0</v>
      </c>
      <c r="AF39" s="3"/>
      <c r="AG39" s="3">
        <f>IF(MOD(C39,MAX(入力!$AE$29,1))=入力!$AE$29-1,入力!$AD$29,0)
+IF(MOD(C39,MAX(入力!$AE$30,1))=入力!$AE$30-1,入力!$AD$30,0)
+IF(MOD(C39,MAX(入力!$AE$31,1))=入力!$AE$31-1,入力!$AD$31,0)
+IF(MOD(C39,MAX(入力!$AE$32,1))=入力!$AE$32-1,入力!$AD$32,0)
+IF(MOD(C39,MAX(入力!$AE$33,1))=入力!$AE$33-1,入力!$AD$33,0)
+IF(MOD(C39,MAX(入力!$AE$34,1))=入力!$AE$34-1,入力!$AD$34,0)
+IF(MOD(C39,MAX(入力!$AE$35,1))=入力!$AE$35-1,入力!$AD$35,0)</f>
        <v>0</v>
      </c>
      <c r="AH39" s="3">
        <f>IF(AND($C39&gt;=入力!$AC$24,$C39&lt;=入力!$AD$24,MOD(A39,入力!AG$24)=0),入力!$AL$24,IF(AND($C39&gt;=入力!$AC$25,$C39&lt;=入力!$AD$25,MOD(A39,入力!$AG$25)=0),入力!$AL$25,0))</f>
        <v>0</v>
      </c>
      <c r="AI39" s="3">
        <f>IF(AND($C39&gt;=入力!$AC$24,$C39&lt;=入力!$AD$24),入力!$AF$24/60*12,IF(AND($C39&gt;=入力!$AC$25,$C39&lt;=入力!$AD$25),入力!$AF$25/60*12,0))</f>
        <v>0</v>
      </c>
      <c r="AJ39" s="14">
        <f t="shared" si="9"/>
        <v>21.5</v>
      </c>
      <c r="AK39" s="18">
        <f t="shared" si="10"/>
        <v>21.5</v>
      </c>
      <c r="AL39" s="24">
        <f t="shared" si="5"/>
        <v>-21.5</v>
      </c>
      <c r="AM39" s="24">
        <f t="shared" si="6"/>
        <v>-2414</v>
      </c>
      <c r="AP39" t="str">
        <f>住居計算!A46</f>
        <v>マンション</v>
      </c>
      <c r="AQ39">
        <f>IF(AND($C39&gt;=入力!$AC$24,$C39&lt;=入力!$AD$24),入力!$AH$24/2,IF(AND($C39&gt;=入力!$AC$25,$C39&lt;=入力!$AD$25),入力!$AH$25/2,0))</f>
        <v>5</v>
      </c>
      <c r="AR39">
        <f>IF(AND($C39&gt;=入力!$AC$24,$C39&lt;=入力!$AD$24),入力!$AI$24,IF(AND($C39&gt;=入力!$AC$25,$C39&lt;=入力!$AD$25),入力!$AI$25,0))</f>
        <v>4.5</v>
      </c>
      <c r="AS39">
        <f>IF(AND($C39&gt;=入力!$AC$24,$C39&lt;=入力!$AD$24),入力!$AJ$24*12,IF(AND($C39&gt;=入力!$AC$25,$C39&lt;=入力!$AD$25),入力!$AJ$25*12,0))</f>
        <v>12</v>
      </c>
      <c r="AT39">
        <f t="shared" si="11"/>
        <v>21.5</v>
      </c>
      <c r="AU39">
        <f>IF(AND($C39&gt;=入力!$AC$24,$C39&lt;=入力!$AD$24,SUM(入力!$AE$24:$AF$24)&gt;0),車_大物家電!AT39,IF(AND($C39&gt;=入力!$AC$25,$C39&lt;=入力!$AD$25,SUM(入力!$AE$25:$AF$25)&gt;0),車_大物家電!AT39,0))</f>
        <v>21.5</v>
      </c>
    </row>
    <row r="40" spans="1:47" x14ac:dyDescent="0.25">
      <c r="A40">
        <f t="shared" si="12"/>
        <v>31</v>
      </c>
      <c r="B40" s="5">
        <f t="shared" si="14"/>
        <v>53</v>
      </c>
      <c r="C40" s="3">
        <f t="shared" si="14"/>
        <v>58</v>
      </c>
      <c r="D40" s="34"/>
      <c r="E40" s="3"/>
      <c r="F40" s="3"/>
      <c r="G40" s="3"/>
      <c r="H40" s="3"/>
      <c r="I40" s="14"/>
      <c r="J40" s="24">
        <f t="shared" si="0"/>
        <v>0</v>
      </c>
      <c r="K40" s="5"/>
      <c r="L40" s="3"/>
      <c r="M40" s="3"/>
      <c r="N40" s="3"/>
      <c r="O40" s="3"/>
      <c r="P40" s="3"/>
      <c r="Q40" s="3"/>
      <c r="R40" s="3"/>
      <c r="S40" s="14"/>
      <c r="T40" s="18">
        <f t="shared" si="1"/>
        <v>0</v>
      </c>
      <c r="U40" s="24">
        <f t="shared" si="2"/>
        <v>0</v>
      </c>
      <c r="V40" s="5"/>
      <c r="W40" s="3"/>
      <c r="X40" s="3"/>
      <c r="Y40" s="3"/>
      <c r="Z40" s="3"/>
      <c r="AA40" s="3"/>
      <c r="AB40" s="14"/>
      <c r="AC40" s="18">
        <f t="shared" si="3"/>
        <v>0</v>
      </c>
      <c r="AD40" s="24">
        <f t="shared" si="4"/>
        <v>0</v>
      </c>
      <c r="AE40" s="5">
        <f t="shared" si="8"/>
        <v>0</v>
      </c>
      <c r="AF40" s="3"/>
      <c r="AG40" s="3">
        <f>IF(MOD(C40,MAX(入力!$AE$29,1))=入力!$AE$29-1,入力!$AD$29,0)
+IF(MOD(C40,MAX(入力!$AE$30,1))=入力!$AE$30-1,入力!$AD$30,0)
+IF(MOD(C40,MAX(入力!$AE$31,1))=入力!$AE$31-1,入力!$AD$31,0)
+IF(MOD(C40,MAX(入力!$AE$32,1))=入力!$AE$32-1,入力!$AD$32,0)
+IF(MOD(C40,MAX(入力!$AE$33,1))=入力!$AE$33-1,入力!$AD$33,0)
+IF(MOD(C40,MAX(入力!$AE$34,1))=入力!$AE$34-1,入力!$AD$34,0)
+IF(MOD(C40,MAX(入力!$AE$35,1))=入力!$AE$35-1,入力!$AD$35,0)</f>
        <v>0</v>
      </c>
      <c r="AH40" s="3">
        <f>IF(AND($C40&gt;=入力!$AC$24,$C40&lt;=入力!$AD$24,MOD(A40,入力!AG$24)=0),入力!$AL$24,IF(AND($C40&gt;=入力!$AC$25,$C40&lt;=入力!$AD$25,MOD(A40,入力!$AG$25)=0),入力!$AL$25,0))</f>
        <v>0</v>
      </c>
      <c r="AI40" s="3">
        <f>IF(AND($C40&gt;=入力!$AC$24,$C40&lt;=入力!$AD$24),入力!$AF$24/60*12,IF(AND($C40&gt;=入力!$AC$25,$C40&lt;=入力!$AD$25),入力!$AF$25/60*12,0))</f>
        <v>0</v>
      </c>
      <c r="AJ40" s="14">
        <f t="shared" si="9"/>
        <v>21.5</v>
      </c>
      <c r="AK40" s="18">
        <f t="shared" si="10"/>
        <v>21.5</v>
      </c>
      <c r="AL40" s="24">
        <f t="shared" si="5"/>
        <v>-21.5</v>
      </c>
      <c r="AM40" s="24">
        <f t="shared" si="6"/>
        <v>-2435.5</v>
      </c>
      <c r="AP40" t="str">
        <f>住居計算!A47</f>
        <v>マンション</v>
      </c>
      <c r="AQ40">
        <f>IF(AND($C40&gt;=入力!$AC$24,$C40&lt;=入力!$AD$24),入力!$AH$24/2,IF(AND($C40&gt;=入力!$AC$25,$C40&lt;=入力!$AD$25),入力!$AH$25/2,0))</f>
        <v>5</v>
      </c>
      <c r="AR40">
        <f>IF(AND($C40&gt;=入力!$AC$24,$C40&lt;=入力!$AD$24),入力!$AI$24,IF(AND($C40&gt;=入力!$AC$25,$C40&lt;=入力!$AD$25),入力!$AI$25,0))</f>
        <v>4.5</v>
      </c>
      <c r="AS40">
        <f>IF(AND($C40&gt;=入力!$AC$24,$C40&lt;=入力!$AD$24),入力!$AJ$24*12,IF(AND($C40&gt;=入力!$AC$25,$C40&lt;=入力!$AD$25),入力!$AJ$25*12,0))</f>
        <v>12</v>
      </c>
      <c r="AT40">
        <f t="shared" si="11"/>
        <v>21.5</v>
      </c>
      <c r="AU40">
        <f>IF(AND($C40&gt;=入力!$AC$24,$C40&lt;=入力!$AD$24,SUM(入力!$AE$24:$AF$24)&gt;0),車_大物家電!AT40,IF(AND($C40&gt;=入力!$AC$25,$C40&lt;=入力!$AD$25,SUM(入力!$AE$25:$AF$25)&gt;0),車_大物家電!AT40,0))</f>
        <v>21.5</v>
      </c>
    </row>
    <row r="41" spans="1:47" x14ac:dyDescent="0.25">
      <c r="A41">
        <f t="shared" si="12"/>
        <v>32</v>
      </c>
      <c r="B41" s="5">
        <f t="shared" si="14"/>
        <v>54</v>
      </c>
      <c r="C41" s="3">
        <f t="shared" si="14"/>
        <v>59</v>
      </c>
      <c r="D41" s="34"/>
      <c r="E41" s="3"/>
      <c r="F41" s="3"/>
      <c r="G41" s="3"/>
      <c r="H41" s="3"/>
      <c r="I41" s="14"/>
      <c r="J41" s="24">
        <f t="shared" si="0"/>
        <v>0</v>
      </c>
      <c r="K41" s="5"/>
      <c r="L41" s="3"/>
      <c r="M41" s="3"/>
      <c r="N41" s="3"/>
      <c r="O41" s="3"/>
      <c r="P41" s="3"/>
      <c r="Q41" s="3"/>
      <c r="R41" s="3"/>
      <c r="S41" s="14"/>
      <c r="T41" s="18">
        <f t="shared" si="1"/>
        <v>0</v>
      </c>
      <c r="U41" s="24">
        <f t="shared" si="2"/>
        <v>0</v>
      </c>
      <c r="V41" s="5"/>
      <c r="W41" s="3"/>
      <c r="X41" s="3"/>
      <c r="Y41" s="3"/>
      <c r="Z41" s="3"/>
      <c r="AA41" s="3"/>
      <c r="AB41" s="14"/>
      <c r="AC41" s="18">
        <f t="shared" si="3"/>
        <v>0</v>
      </c>
      <c r="AD41" s="24">
        <f t="shared" si="4"/>
        <v>0</v>
      </c>
      <c r="AE41" s="5">
        <f t="shared" si="8"/>
        <v>0</v>
      </c>
      <c r="AF41" s="3"/>
      <c r="AG41" s="3">
        <f>IF(MOD(C41,MAX(入力!$AE$29,1))=入力!$AE$29-1,入力!$AD$29,0)
+IF(MOD(C41,MAX(入力!$AE$30,1))=入力!$AE$30-1,入力!$AD$30,0)
+IF(MOD(C41,MAX(入力!$AE$31,1))=入力!$AE$31-1,入力!$AD$31,0)
+IF(MOD(C41,MAX(入力!$AE$32,1))=入力!$AE$32-1,入力!$AD$32,0)
+IF(MOD(C41,MAX(入力!$AE$33,1))=入力!$AE$33-1,入力!$AD$33,0)
+IF(MOD(C41,MAX(入力!$AE$34,1))=入力!$AE$34-1,入力!$AD$34,0)
+IF(MOD(C41,MAX(入力!$AE$35,1))=入力!$AE$35-1,入力!$AD$35,0)</f>
        <v>57</v>
      </c>
      <c r="AH41" s="3">
        <f>IF(AND($C41&gt;=入力!$AC$24,$C41&lt;=入力!$AD$24,MOD(A41,入力!AG$24)=0),入力!$AL$24,IF(AND($C41&gt;=入力!$AC$25,$C41&lt;=入力!$AD$25,MOD(A41,入力!$AG$25)=0),入力!$AL$25,0))</f>
        <v>0</v>
      </c>
      <c r="AI41" s="3">
        <f>IF(AND($C41&gt;=入力!$AC$24,$C41&lt;=入力!$AD$24),入力!$AF$24/60*12,IF(AND($C41&gt;=入力!$AC$25,$C41&lt;=入力!$AD$25),入力!$AF$25/60*12,0))</f>
        <v>0</v>
      </c>
      <c r="AJ41" s="14">
        <f t="shared" si="9"/>
        <v>21.5</v>
      </c>
      <c r="AK41" s="18">
        <f t="shared" si="10"/>
        <v>78.5</v>
      </c>
      <c r="AL41" s="24">
        <f t="shared" si="5"/>
        <v>-78.5</v>
      </c>
      <c r="AM41" s="24">
        <f t="shared" si="6"/>
        <v>-2514</v>
      </c>
      <c r="AP41" t="str">
        <f>住居計算!A48</f>
        <v>マンション</v>
      </c>
      <c r="AQ41">
        <f>IF(AND($C41&gt;=入力!$AC$24,$C41&lt;=入力!$AD$24),入力!$AH$24/2,IF(AND($C41&gt;=入力!$AC$25,$C41&lt;=入力!$AD$25),入力!$AH$25/2,0))</f>
        <v>5</v>
      </c>
      <c r="AR41">
        <f>IF(AND($C41&gt;=入力!$AC$24,$C41&lt;=入力!$AD$24),入力!$AI$24,IF(AND($C41&gt;=入力!$AC$25,$C41&lt;=入力!$AD$25),入力!$AI$25,0))</f>
        <v>4.5</v>
      </c>
      <c r="AS41">
        <f>IF(AND($C41&gt;=入力!$AC$24,$C41&lt;=入力!$AD$24),入力!$AJ$24*12,IF(AND($C41&gt;=入力!$AC$25,$C41&lt;=入力!$AD$25),入力!$AJ$25*12,0))</f>
        <v>12</v>
      </c>
      <c r="AT41">
        <f t="shared" si="11"/>
        <v>21.5</v>
      </c>
      <c r="AU41">
        <f>IF(AND($C41&gt;=入力!$AC$24,$C41&lt;=入力!$AD$24,SUM(入力!$AE$24:$AF$24)&gt;0),車_大物家電!AT41,IF(AND($C41&gt;=入力!$AC$25,$C41&lt;=入力!$AD$25,SUM(入力!$AE$25:$AF$25)&gt;0),車_大物家電!AT41,0))</f>
        <v>21.5</v>
      </c>
    </row>
    <row r="42" spans="1:47" x14ac:dyDescent="0.25">
      <c r="A42">
        <f t="shared" si="12"/>
        <v>33</v>
      </c>
      <c r="B42" s="5">
        <f t="shared" si="14"/>
        <v>55</v>
      </c>
      <c r="C42" s="3">
        <f t="shared" si="14"/>
        <v>60</v>
      </c>
      <c r="D42" s="34"/>
      <c r="E42" s="3"/>
      <c r="F42" s="3"/>
      <c r="G42" s="3"/>
      <c r="H42" s="3"/>
      <c r="I42" s="14"/>
      <c r="J42" s="24">
        <f t="shared" si="0"/>
        <v>0</v>
      </c>
      <c r="K42" s="5"/>
      <c r="L42" s="3"/>
      <c r="M42" s="3"/>
      <c r="N42" s="3"/>
      <c r="O42" s="3"/>
      <c r="P42" s="3"/>
      <c r="Q42" s="3"/>
      <c r="R42" s="3"/>
      <c r="S42" s="14"/>
      <c r="T42" s="18">
        <f t="shared" si="1"/>
        <v>0</v>
      </c>
      <c r="U42" s="24">
        <f t="shared" si="2"/>
        <v>0</v>
      </c>
      <c r="V42" s="5"/>
      <c r="W42" s="3"/>
      <c r="X42" s="3"/>
      <c r="Y42" s="3"/>
      <c r="Z42" s="3"/>
      <c r="AA42" s="3"/>
      <c r="AB42" s="14"/>
      <c r="AC42" s="18">
        <f t="shared" si="3"/>
        <v>0</v>
      </c>
      <c r="AD42" s="24">
        <f t="shared" si="4"/>
        <v>0</v>
      </c>
      <c r="AE42" s="5">
        <f t="shared" si="8"/>
        <v>0</v>
      </c>
      <c r="AF42" s="3"/>
      <c r="AG42" s="3">
        <f>IF(MOD(C42,MAX(入力!$AE$29,1))=入力!$AE$29-1,入力!$AD$29,0)
+IF(MOD(C42,MAX(入力!$AE$30,1))=入力!$AE$30-1,入力!$AD$30,0)
+IF(MOD(C42,MAX(入力!$AE$31,1))=入力!$AE$31-1,入力!$AD$31,0)
+IF(MOD(C42,MAX(入力!$AE$32,1))=入力!$AE$32-1,入力!$AD$32,0)
+IF(MOD(C42,MAX(入力!$AE$33,1))=入力!$AE$33-1,入力!$AD$33,0)
+IF(MOD(C42,MAX(入力!$AE$34,1))=入力!$AE$34-1,入力!$AD$34,0)
+IF(MOD(C42,MAX(入力!$AE$35,1))=入力!$AE$35-1,入力!$AD$35,0)</f>
        <v>0</v>
      </c>
      <c r="AH42" s="3">
        <f>IF(AND($C42&gt;=入力!$AC$24,$C42&lt;=入力!$AD$24,MOD(A42,入力!AG$24)=0),入力!$AL$24,IF(AND($C42&gt;=入力!$AC$25,$C42&lt;=入力!$AD$25,MOD(A42,入力!$AG$25)=0),入力!$AL$25,0))</f>
        <v>0</v>
      </c>
      <c r="AI42" s="3">
        <f>IF(AND($C42&gt;=入力!$AC$24,$C42&lt;=入力!$AD$24),入力!$AF$24/60*12,IF(AND($C42&gt;=入力!$AC$25,$C42&lt;=入力!$AD$25),入力!$AF$25/60*12,0))</f>
        <v>0</v>
      </c>
      <c r="AJ42" s="14">
        <f t="shared" si="9"/>
        <v>21.5</v>
      </c>
      <c r="AK42" s="18">
        <f t="shared" si="10"/>
        <v>21.5</v>
      </c>
      <c r="AL42" s="24">
        <f t="shared" si="5"/>
        <v>-21.5</v>
      </c>
      <c r="AM42" s="24">
        <f t="shared" si="6"/>
        <v>-2535.5</v>
      </c>
      <c r="AP42" t="str">
        <f>住居計算!A49</f>
        <v>マンション</v>
      </c>
      <c r="AQ42">
        <f>IF(AND($C42&gt;=入力!$AC$24,$C42&lt;=入力!$AD$24),入力!$AH$24/2,IF(AND($C42&gt;=入力!$AC$25,$C42&lt;=入力!$AD$25),入力!$AH$25/2,0))</f>
        <v>5</v>
      </c>
      <c r="AR42">
        <f>IF(AND($C42&gt;=入力!$AC$24,$C42&lt;=入力!$AD$24),入力!$AI$24,IF(AND($C42&gt;=入力!$AC$25,$C42&lt;=入力!$AD$25),入力!$AI$25,0))</f>
        <v>4.5</v>
      </c>
      <c r="AS42">
        <f>IF(AND($C42&gt;=入力!$AC$24,$C42&lt;=入力!$AD$24),入力!$AJ$24*12,IF(AND($C42&gt;=入力!$AC$25,$C42&lt;=入力!$AD$25),入力!$AJ$25*12,0))</f>
        <v>12</v>
      </c>
      <c r="AT42">
        <f t="shared" si="11"/>
        <v>21.5</v>
      </c>
      <c r="AU42">
        <f>IF(AND($C42&gt;=入力!$AC$24,$C42&lt;=入力!$AD$24,SUM(入力!$AE$24:$AF$24)&gt;0),車_大物家電!AT42,IF(AND($C42&gt;=入力!$AC$25,$C42&lt;=入力!$AD$25,SUM(入力!$AE$25:$AF$25)&gt;0),車_大物家電!AT42,0))</f>
        <v>21.5</v>
      </c>
    </row>
    <row r="43" spans="1:47" x14ac:dyDescent="0.25">
      <c r="A43">
        <f t="shared" si="12"/>
        <v>34</v>
      </c>
      <c r="B43" s="5">
        <f t="shared" si="14"/>
        <v>56</v>
      </c>
      <c r="C43" s="3">
        <f t="shared" si="14"/>
        <v>61</v>
      </c>
      <c r="D43" s="34"/>
      <c r="E43" s="3"/>
      <c r="F43" s="3"/>
      <c r="G43" s="3"/>
      <c r="H43" s="3"/>
      <c r="I43" s="14"/>
      <c r="J43" s="24">
        <f t="shared" si="0"/>
        <v>0</v>
      </c>
      <c r="K43" s="5"/>
      <c r="L43" s="3"/>
      <c r="M43" s="3"/>
      <c r="N43" s="3"/>
      <c r="O43" s="3"/>
      <c r="P43" s="3"/>
      <c r="Q43" s="3"/>
      <c r="R43" s="3"/>
      <c r="S43" s="14"/>
      <c r="T43" s="18">
        <f t="shared" si="1"/>
        <v>0</v>
      </c>
      <c r="U43" s="24">
        <f t="shared" si="2"/>
        <v>0</v>
      </c>
      <c r="V43" s="5"/>
      <c r="W43" s="3"/>
      <c r="X43" s="3"/>
      <c r="Y43" s="3"/>
      <c r="Z43" s="3"/>
      <c r="AA43" s="3"/>
      <c r="AB43" s="14"/>
      <c r="AC43" s="18">
        <f t="shared" si="3"/>
        <v>0</v>
      </c>
      <c r="AD43" s="24">
        <f t="shared" si="4"/>
        <v>0</v>
      </c>
      <c r="AE43" s="5">
        <f t="shared" si="8"/>
        <v>0</v>
      </c>
      <c r="AF43" s="3"/>
      <c r="AG43" s="3">
        <f>IF(MOD(C43,MAX(入力!$AE$29,1))=入力!$AE$29-1,入力!$AD$29,0)
+IF(MOD(C43,MAX(入力!$AE$30,1))=入力!$AE$30-1,入力!$AD$30,0)
+IF(MOD(C43,MAX(入力!$AE$31,1))=入力!$AE$31-1,入力!$AD$31,0)
+IF(MOD(C43,MAX(入力!$AE$32,1))=入力!$AE$32-1,入力!$AD$32,0)
+IF(MOD(C43,MAX(入力!$AE$33,1))=入力!$AE$33-1,入力!$AD$33,0)
+IF(MOD(C43,MAX(入力!$AE$34,1))=入力!$AE$34-1,入力!$AD$34,0)
+IF(MOD(C43,MAX(入力!$AE$35,1))=入力!$AE$35-1,入力!$AD$35,0)</f>
        <v>0</v>
      </c>
      <c r="AH43" s="3">
        <f>IF(AND($C43&gt;=入力!$AC$24,$C43&lt;=入力!$AD$24,MOD(A43,入力!AG$24)=0),入力!$AL$24,IF(AND($C43&gt;=入力!$AC$25,$C43&lt;=入力!$AD$25,MOD(A43,入力!$AG$25)=0),入力!$AL$25,0))</f>
        <v>0</v>
      </c>
      <c r="AI43" s="3">
        <f>IF(AND($C43&gt;=入力!$AC$24,$C43&lt;=入力!$AD$24),入力!$AF$24/60*12,IF(AND($C43&gt;=入力!$AC$25,$C43&lt;=入力!$AD$25),入力!$AF$25/60*12,0))</f>
        <v>0</v>
      </c>
      <c r="AJ43" s="14">
        <f t="shared" si="9"/>
        <v>21.5</v>
      </c>
      <c r="AK43" s="18">
        <f t="shared" si="10"/>
        <v>21.5</v>
      </c>
      <c r="AL43" s="24">
        <f t="shared" si="5"/>
        <v>-21.5</v>
      </c>
      <c r="AM43" s="24">
        <f t="shared" si="6"/>
        <v>-2557</v>
      </c>
      <c r="AP43" t="str">
        <f>住居計算!A50</f>
        <v>マンション</v>
      </c>
      <c r="AQ43">
        <f>IF(AND($C43&gt;=入力!$AC$24,$C43&lt;=入力!$AD$24),入力!$AH$24/2,IF(AND($C43&gt;=入力!$AC$25,$C43&lt;=入力!$AD$25),入力!$AH$25/2,0))</f>
        <v>5</v>
      </c>
      <c r="AR43">
        <f>IF(AND($C43&gt;=入力!$AC$24,$C43&lt;=入力!$AD$24),入力!$AI$24,IF(AND($C43&gt;=入力!$AC$25,$C43&lt;=入力!$AD$25),入力!$AI$25,0))</f>
        <v>4.5</v>
      </c>
      <c r="AS43">
        <f>IF(AND($C43&gt;=入力!$AC$24,$C43&lt;=入力!$AD$24),入力!$AJ$24*12,IF(AND($C43&gt;=入力!$AC$25,$C43&lt;=入力!$AD$25),入力!$AJ$25*12,0))</f>
        <v>12</v>
      </c>
      <c r="AT43">
        <f t="shared" si="11"/>
        <v>21.5</v>
      </c>
      <c r="AU43">
        <f>IF(AND($C43&gt;=入力!$AC$24,$C43&lt;=入力!$AD$24,SUM(入力!$AE$24:$AF$24)&gt;0),車_大物家電!AT43,IF(AND($C43&gt;=入力!$AC$25,$C43&lt;=入力!$AD$25,SUM(入力!$AE$25:$AF$25)&gt;0),車_大物家電!AT43,0))</f>
        <v>21.5</v>
      </c>
    </row>
    <row r="44" spans="1:47" x14ac:dyDescent="0.25">
      <c r="A44">
        <f t="shared" si="12"/>
        <v>35</v>
      </c>
      <c r="B44" s="5">
        <f t="shared" si="14"/>
        <v>57</v>
      </c>
      <c r="C44" s="3">
        <f t="shared" si="14"/>
        <v>62</v>
      </c>
      <c r="D44" s="34"/>
      <c r="E44" s="3"/>
      <c r="F44" s="3"/>
      <c r="G44" s="3"/>
      <c r="H44" s="3"/>
      <c r="I44" s="14"/>
      <c r="J44" s="24">
        <f t="shared" si="0"/>
        <v>0</v>
      </c>
      <c r="K44" s="5"/>
      <c r="L44" s="3"/>
      <c r="M44" s="3"/>
      <c r="N44" s="3"/>
      <c r="O44" s="3"/>
      <c r="P44" s="3"/>
      <c r="Q44" s="3"/>
      <c r="R44" s="3"/>
      <c r="S44" s="14"/>
      <c r="T44" s="18">
        <f t="shared" si="1"/>
        <v>0</v>
      </c>
      <c r="U44" s="24">
        <f t="shared" si="2"/>
        <v>0</v>
      </c>
      <c r="V44" s="5"/>
      <c r="W44" s="3"/>
      <c r="X44" s="3"/>
      <c r="Y44" s="3"/>
      <c r="Z44" s="3"/>
      <c r="AA44" s="3"/>
      <c r="AB44" s="14"/>
      <c r="AC44" s="18">
        <f t="shared" si="3"/>
        <v>0</v>
      </c>
      <c r="AD44" s="24">
        <f t="shared" si="4"/>
        <v>0</v>
      </c>
      <c r="AE44" s="5">
        <f t="shared" si="8"/>
        <v>0</v>
      </c>
      <c r="AF44" s="3"/>
      <c r="AG44" s="3">
        <f>IF(MOD(C44,MAX(入力!$AE$29,1))=入力!$AE$29-1,入力!$AD$29,0)
+IF(MOD(C44,MAX(入力!$AE$30,1))=入力!$AE$30-1,入力!$AD$30,0)
+IF(MOD(C44,MAX(入力!$AE$31,1))=入力!$AE$31-1,入力!$AD$31,0)
+IF(MOD(C44,MAX(入力!$AE$32,1))=入力!$AE$32-1,入力!$AD$32,0)
+IF(MOD(C44,MAX(入力!$AE$33,1))=入力!$AE$33-1,入力!$AD$33,0)
+IF(MOD(C44,MAX(入力!$AE$34,1))=入力!$AE$34-1,入力!$AD$34,0)
+IF(MOD(C44,MAX(入力!$AE$35,1))=入力!$AE$35-1,入力!$AD$35,0)</f>
        <v>0</v>
      </c>
      <c r="AH44" s="3">
        <f>IF(AND($C44&gt;=入力!$AC$24,$C44&lt;=入力!$AD$24,MOD(A44,入力!AG$24)=0),入力!$AL$24,IF(AND($C44&gt;=入力!$AC$25,$C44&lt;=入力!$AD$25,MOD(A44,入力!$AG$25)=0),入力!$AL$25,0))</f>
        <v>300</v>
      </c>
      <c r="AI44" s="3">
        <f>IF(AND($C44&gt;=入力!$AC$24,$C44&lt;=入力!$AD$24),入力!$AF$24/60*12,IF(AND($C44&gt;=入力!$AC$25,$C44&lt;=入力!$AD$25),入力!$AF$25/60*12,0))</f>
        <v>0</v>
      </c>
      <c r="AJ44" s="14">
        <f t="shared" si="9"/>
        <v>21.5</v>
      </c>
      <c r="AK44" s="18">
        <f t="shared" si="10"/>
        <v>321.5</v>
      </c>
      <c r="AL44" s="24">
        <f t="shared" si="5"/>
        <v>-321.5</v>
      </c>
      <c r="AM44" s="24">
        <f t="shared" si="6"/>
        <v>-2878.5</v>
      </c>
      <c r="AP44" t="str">
        <f>住居計算!A51</f>
        <v>マンション</v>
      </c>
      <c r="AQ44">
        <f>IF(AND($C44&gt;=入力!$AC$24,$C44&lt;=入力!$AD$24),入力!$AH$24/2,IF(AND($C44&gt;=入力!$AC$25,$C44&lt;=入力!$AD$25),入力!$AH$25/2,0))</f>
        <v>5</v>
      </c>
      <c r="AR44">
        <f>IF(AND($C44&gt;=入力!$AC$24,$C44&lt;=入力!$AD$24),入力!$AI$24,IF(AND($C44&gt;=入力!$AC$25,$C44&lt;=入力!$AD$25),入力!$AI$25,0))</f>
        <v>4.5</v>
      </c>
      <c r="AS44">
        <f>IF(AND($C44&gt;=入力!$AC$24,$C44&lt;=入力!$AD$24),入力!$AJ$24*12,IF(AND($C44&gt;=入力!$AC$25,$C44&lt;=入力!$AD$25),入力!$AJ$25*12,0))</f>
        <v>12</v>
      </c>
      <c r="AT44">
        <f t="shared" si="11"/>
        <v>21.5</v>
      </c>
      <c r="AU44">
        <f>IF(AND($C44&gt;=入力!$AC$24,$C44&lt;=入力!$AD$24,SUM(入力!$AE$24:$AF$24)&gt;0),車_大物家電!AT44,IF(AND($C44&gt;=入力!$AC$25,$C44&lt;=入力!$AD$25,SUM(入力!$AE$25:$AF$25)&gt;0),車_大物家電!AT44,0))</f>
        <v>21.5</v>
      </c>
    </row>
    <row r="45" spans="1:47" x14ac:dyDescent="0.25">
      <c r="A45">
        <f t="shared" si="12"/>
        <v>36</v>
      </c>
      <c r="B45" s="5">
        <f t="shared" si="14"/>
        <v>58</v>
      </c>
      <c r="C45" s="3">
        <f t="shared" si="14"/>
        <v>63</v>
      </c>
      <c r="D45" s="34"/>
      <c r="E45" s="3"/>
      <c r="F45" s="3"/>
      <c r="G45" s="3"/>
      <c r="H45" s="3"/>
      <c r="I45" s="14"/>
      <c r="J45" s="24">
        <f t="shared" si="0"/>
        <v>0</v>
      </c>
      <c r="K45" s="5"/>
      <c r="L45" s="3"/>
      <c r="M45" s="3"/>
      <c r="N45" s="3"/>
      <c r="O45" s="3"/>
      <c r="P45" s="3"/>
      <c r="Q45" s="3"/>
      <c r="R45" s="3"/>
      <c r="S45" s="14"/>
      <c r="T45" s="18">
        <f t="shared" si="1"/>
        <v>0</v>
      </c>
      <c r="U45" s="24">
        <f t="shared" si="2"/>
        <v>0</v>
      </c>
      <c r="V45" s="5"/>
      <c r="W45" s="3"/>
      <c r="X45" s="3"/>
      <c r="Y45" s="3"/>
      <c r="Z45" s="3"/>
      <c r="AA45" s="3"/>
      <c r="AB45" s="14"/>
      <c r="AC45" s="18">
        <f t="shared" si="3"/>
        <v>0</v>
      </c>
      <c r="AD45" s="24">
        <f t="shared" si="4"/>
        <v>0</v>
      </c>
      <c r="AE45" s="5">
        <f t="shared" si="8"/>
        <v>0</v>
      </c>
      <c r="AF45" s="3"/>
      <c r="AG45" s="3">
        <f>IF(MOD(C45,MAX(入力!$AE$29,1))=入力!$AE$29-1,入力!$AD$29,0)
+IF(MOD(C45,MAX(入力!$AE$30,1))=入力!$AE$30-1,入力!$AD$30,0)
+IF(MOD(C45,MAX(入力!$AE$31,1))=入力!$AE$31-1,入力!$AD$31,0)
+IF(MOD(C45,MAX(入力!$AE$32,1))=入力!$AE$32-1,入力!$AD$32,0)
+IF(MOD(C45,MAX(入力!$AE$33,1))=入力!$AE$33-1,入力!$AD$33,0)
+IF(MOD(C45,MAX(入力!$AE$34,1))=入力!$AE$34-1,入力!$AD$34,0)
+IF(MOD(C45,MAX(入力!$AE$35,1))=入力!$AE$35-1,入力!$AD$35,0)</f>
        <v>0</v>
      </c>
      <c r="AH45" s="3">
        <f>IF(AND($C45&gt;=入力!$AC$24,$C45&lt;=入力!$AD$24,MOD(A45,入力!AG$24)=0),入力!$AL$24,IF(AND($C45&gt;=入力!$AC$25,$C45&lt;=入力!$AD$25,MOD(A45,入力!$AG$25)=0),入力!$AL$25,0))</f>
        <v>0</v>
      </c>
      <c r="AI45" s="3">
        <f>IF(AND($C45&gt;=入力!$AC$24,$C45&lt;=入力!$AD$24),入力!$AF$24/60*12,IF(AND($C45&gt;=入力!$AC$25,$C45&lt;=入力!$AD$25),入力!$AF$25/60*12,0))</f>
        <v>0</v>
      </c>
      <c r="AJ45" s="14">
        <f t="shared" si="9"/>
        <v>21.5</v>
      </c>
      <c r="AK45" s="18">
        <f t="shared" si="10"/>
        <v>21.5</v>
      </c>
      <c r="AL45" s="24">
        <f t="shared" si="5"/>
        <v>-21.5</v>
      </c>
      <c r="AM45" s="24">
        <f t="shared" si="6"/>
        <v>-2900</v>
      </c>
      <c r="AP45" t="str">
        <f>住居計算!A52</f>
        <v>マンション</v>
      </c>
      <c r="AQ45">
        <f>IF(AND($C45&gt;=入力!$AC$24,$C45&lt;=入力!$AD$24),入力!$AH$24/2,IF(AND($C45&gt;=入力!$AC$25,$C45&lt;=入力!$AD$25),入力!$AH$25/2,0))</f>
        <v>5</v>
      </c>
      <c r="AR45">
        <f>IF(AND($C45&gt;=入力!$AC$24,$C45&lt;=入力!$AD$24),入力!$AI$24,IF(AND($C45&gt;=入力!$AC$25,$C45&lt;=入力!$AD$25),入力!$AI$25,0))</f>
        <v>4.5</v>
      </c>
      <c r="AS45">
        <f>IF(AND($C45&gt;=入力!$AC$24,$C45&lt;=入力!$AD$24),入力!$AJ$24*12,IF(AND($C45&gt;=入力!$AC$25,$C45&lt;=入力!$AD$25),入力!$AJ$25*12,0))</f>
        <v>12</v>
      </c>
      <c r="AT45">
        <f t="shared" si="11"/>
        <v>21.5</v>
      </c>
      <c r="AU45">
        <f>IF(AND($C45&gt;=入力!$AC$24,$C45&lt;=入力!$AD$24,SUM(入力!$AE$24:$AF$24)&gt;0),車_大物家電!AT45,IF(AND($C45&gt;=入力!$AC$25,$C45&lt;=入力!$AD$25,SUM(入力!$AE$25:$AF$25)&gt;0),車_大物家電!AT45,0))</f>
        <v>21.5</v>
      </c>
    </row>
    <row r="46" spans="1:47" x14ac:dyDescent="0.25">
      <c r="A46">
        <f t="shared" si="12"/>
        <v>37</v>
      </c>
      <c r="B46" s="5">
        <f t="shared" si="14"/>
        <v>59</v>
      </c>
      <c r="C46" s="3">
        <f t="shared" si="14"/>
        <v>64</v>
      </c>
      <c r="D46" s="34"/>
      <c r="E46" s="3"/>
      <c r="F46" s="3"/>
      <c r="G46" s="3"/>
      <c r="H46" s="3"/>
      <c r="I46" s="14"/>
      <c r="J46" s="24">
        <f t="shared" si="0"/>
        <v>0</v>
      </c>
      <c r="K46" s="5"/>
      <c r="L46" s="3"/>
      <c r="M46" s="3"/>
      <c r="N46" s="3"/>
      <c r="O46" s="3"/>
      <c r="P46" s="3"/>
      <c r="Q46" s="3"/>
      <c r="R46" s="3"/>
      <c r="S46" s="14"/>
      <c r="T46" s="18">
        <f t="shared" si="1"/>
        <v>0</v>
      </c>
      <c r="U46" s="24">
        <f t="shared" si="2"/>
        <v>0</v>
      </c>
      <c r="V46" s="5"/>
      <c r="W46" s="3"/>
      <c r="X46" s="3"/>
      <c r="Y46" s="3"/>
      <c r="Z46" s="3"/>
      <c r="AA46" s="3"/>
      <c r="AB46" s="14"/>
      <c r="AC46" s="18">
        <f t="shared" si="3"/>
        <v>0</v>
      </c>
      <c r="AD46" s="24">
        <f t="shared" si="4"/>
        <v>0</v>
      </c>
      <c r="AE46" s="5">
        <f t="shared" si="8"/>
        <v>0</v>
      </c>
      <c r="AF46" s="3"/>
      <c r="AG46" s="3">
        <f>IF(MOD(C46,MAX(入力!$AE$29,1))=入力!$AE$29-1,入力!$AD$29,0)
+IF(MOD(C46,MAX(入力!$AE$30,1))=入力!$AE$30-1,入力!$AD$30,0)
+IF(MOD(C46,MAX(入力!$AE$31,1))=入力!$AE$31-1,入力!$AD$31,0)
+IF(MOD(C46,MAX(入力!$AE$32,1))=入力!$AE$32-1,入力!$AD$32,0)
+IF(MOD(C46,MAX(入力!$AE$33,1))=入力!$AE$33-1,入力!$AD$33,0)
+IF(MOD(C46,MAX(入力!$AE$34,1))=入力!$AE$34-1,入力!$AD$34,0)
+IF(MOD(C46,MAX(入力!$AE$35,1))=入力!$AE$35-1,入力!$AD$35,0)</f>
        <v>3</v>
      </c>
      <c r="AH46" s="3">
        <f>IF(AND($C46&gt;=入力!$AC$24,$C46&lt;=入力!$AD$24,MOD(A46,入力!AG$24)=0),入力!$AL$24,IF(AND($C46&gt;=入力!$AC$25,$C46&lt;=入力!$AD$25,MOD(A46,入力!$AG$25)=0),入力!$AL$25,0))</f>
        <v>0</v>
      </c>
      <c r="AI46" s="3">
        <f>IF(AND($C46&gt;=入力!$AC$24,$C46&lt;=入力!$AD$24),入力!$AF$24/60*12,IF(AND($C46&gt;=入力!$AC$25,$C46&lt;=入力!$AD$25),入力!$AF$25/60*12,0))</f>
        <v>0</v>
      </c>
      <c r="AJ46" s="14">
        <f t="shared" si="9"/>
        <v>21.5</v>
      </c>
      <c r="AK46" s="18">
        <f t="shared" si="10"/>
        <v>24.5</v>
      </c>
      <c r="AL46" s="24">
        <f t="shared" si="5"/>
        <v>-24.5</v>
      </c>
      <c r="AM46" s="24">
        <f t="shared" si="6"/>
        <v>-2924.5</v>
      </c>
      <c r="AP46" t="str">
        <f>住居計算!A53</f>
        <v>マンション</v>
      </c>
      <c r="AQ46">
        <f>IF(AND($C46&gt;=入力!$AC$24,$C46&lt;=入力!$AD$24),入力!$AH$24/2,IF(AND($C46&gt;=入力!$AC$25,$C46&lt;=入力!$AD$25),入力!$AH$25/2,0))</f>
        <v>5</v>
      </c>
      <c r="AR46">
        <f>IF(AND($C46&gt;=入力!$AC$24,$C46&lt;=入力!$AD$24),入力!$AI$24,IF(AND($C46&gt;=入力!$AC$25,$C46&lt;=入力!$AD$25),入力!$AI$25,0))</f>
        <v>4.5</v>
      </c>
      <c r="AS46">
        <f>IF(AND($C46&gt;=入力!$AC$24,$C46&lt;=入力!$AD$24),入力!$AJ$24*12,IF(AND($C46&gt;=入力!$AC$25,$C46&lt;=入力!$AD$25),入力!$AJ$25*12,0))</f>
        <v>12</v>
      </c>
      <c r="AT46">
        <f t="shared" si="11"/>
        <v>21.5</v>
      </c>
      <c r="AU46">
        <f>IF(AND($C46&gt;=入力!$AC$24,$C46&lt;=入力!$AD$24,SUM(入力!$AE$24:$AF$24)&gt;0),車_大物家電!AT46,IF(AND($C46&gt;=入力!$AC$25,$C46&lt;=入力!$AD$25,SUM(入力!$AE$25:$AF$25)&gt;0),車_大物家電!AT46,0))</f>
        <v>21.5</v>
      </c>
    </row>
    <row r="47" spans="1:47" x14ac:dyDescent="0.25">
      <c r="A47">
        <f t="shared" si="12"/>
        <v>38</v>
      </c>
      <c r="B47" s="5">
        <f t="shared" si="14"/>
        <v>60</v>
      </c>
      <c r="C47" s="3">
        <f t="shared" si="14"/>
        <v>65</v>
      </c>
      <c r="D47" s="34"/>
      <c r="E47" s="3"/>
      <c r="F47" s="3"/>
      <c r="G47" s="3"/>
      <c r="H47" s="3"/>
      <c r="I47" s="14"/>
      <c r="J47" s="24">
        <f t="shared" si="0"/>
        <v>0</v>
      </c>
      <c r="K47" s="5"/>
      <c r="L47" s="3"/>
      <c r="M47" s="3"/>
      <c r="N47" s="3"/>
      <c r="O47" s="3"/>
      <c r="P47" s="3"/>
      <c r="Q47" s="3"/>
      <c r="R47" s="3"/>
      <c r="S47" s="14"/>
      <c r="T47" s="18">
        <f t="shared" si="1"/>
        <v>0</v>
      </c>
      <c r="U47" s="24">
        <f t="shared" si="2"/>
        <v>0</v>
      </c>
      <c r="V47" s="5"/>
      <c r="W47" s="3"/>
      <c r="X47" s="3"/>
      <c r="Y47" s="3"/>
      <c r="Z47" s="3"/>
      <c r="AA47" s="3"/>
      <c r="AB47" s="14"/>
      <c r="AC47" s="18">
        <f t="shared" si="3"/>
        <v>0</v>
      </c>
      <c r="AD47" s="24">
        <f t="shared" si="4"/>
        <v>0</v>
      </c>
      <c r="AE47" s="5">
        <f t="shared" si="8"/>
        <v>0</v>
      </c>
      <c r="AF47" s="3"/>
      <c r="AG47" s="3">
        <f>IF(MOD(C47,MAX(入力!$AE$29,1))=入力!$AE$29-1,入力!$AD$29,0)
+IF(MOD(C47,MAX(入力!$AE$30,1))=入力!$AE$30-1,入力!$AD$30,0)
+IF(MOD(C47,MAX(入力!$AE$31,1))=入力!$AE$31-1,入力!$AD$31,0)
+IF(MOD(C47,MAX(入力!$AE$32,1))=入力!$AE$32-1,入力!$AD$32,0)
+IF(MOD(C47,MAX(入力!$AE$33,1))=入力!$AE$33-1,入力!$AD$33,0)
+IF(MOD(C47,MAX(入力!$AE$34,1))=入力!$AE$34-1,入力!$AD$34,0)
+IF(MOD(C47,MAX(入力!$AE$35,1))=入力!$AE$35-1,入力!$AD$35,0)</f>
        <v>0</v>
      </c>
      <c r="AH47" s="3">
        <f>IF(AND($C47&gt;=入力!$AC$24,$C47&lt;=入力!$AD$24,MOD(A47,入力!AG$24)=0),入力!$AL$24,IF(AND($C47&gt;=入力!$AC$25,$C47&lt;=入力!$AD$25,MOD(A47,入力!$AG$25)=0),入力!$AL$25,0))</f>
        <v>0</v>
      </c>
      <c r="AI47" s="3">
        <f>IF(AND($C47&gt;=入力!$AC$24,$C47&lt;=入力!$AD$24),入力!$AF$24/60*12,IF(AND($C47&gt;=入力!$AC$25,$C47&lt;=入力!$AD$25),入力!$AF$25/60*12,0))</f>
        <v>0</v>
      </c>
      <c r="AJ47" s="14">
        <f t="shared" si="9"/>
        <v>21.5</v>
      </c>
      <c r="AK47" s="18">
        <f t="shared" si="10"/>
        <v>21.5</v>
      </c>
      <c r="AL47" s="24">
        <f t="shared" si="5"/>
        <v>-21.5</v>
      </c>
      <c r="AM47" s="24">
        <f t="shared" si="6"/>
        <v>-2946</v>
      </c>
      <c r="AP47" t="str">
        <f>住居計算!A54</f>
        <v>マンション</v>
      </c>
      <c r="AQ47">
        <f>IF(AND($C47&gt;=入力!$AC$24,$C47&lt;=入力!$AD$24),入力!$AH$24/2,IF(AND($C47&gt;=入力!$AC$25,$C47&lt;=入力!$AD$25),入力!$AH$25/2,0))</f>
        <v>5</v>
      </c>
      <c r="AR47">
        <f>IF(AND($C47&gt;=入力!$AC$24,$C47&lt;=入力!$AD$24),入力!$AI$24,IF(AND($C47&gt;=入力!$AC$25,$C47&lt;=入力!$AD$25),入力!$AI$25,0))</f>
        <v>4.5</v>
      </c>
      <c r="AS47">
        <f>IF(AND($C47&gt;=入力!$AC$24,$C47&lt;=入力!$AD$24),入力!$AJ$24*12,IF(AND($C47&gt;=入力!$AC$25,$C47&lt;=入力!$AD$25),入力!$AJ$25*12,0))</f>
        <v>12</v>
      </c>
      <c r="AT47">
        <f t="shared" si="11"/>
        <v>21.5</v>
      </c>
      <c r="AU47">
        <f>IF(AND($C47&gt;=入力!$AC$24,$C47&lt;=入力!$AD$24,SUM(入力!$AE$24:$AF$24)&gt;0),車_大物家電!AT47,IF(AND($C47&gt;=入力!$AC$25,$C47&lt;=入力!$AD$25,SUM(入力!$AE$25:$AF$25)&gt;0),車_大物家電!AT47,0))</f>
        <v>21.5</v>
      </c>
    </row>
    <row r="48" spans="1:47" x14ac:dyDescent="0.25">
      <c r="A48">
        <f t="shared" si="12"/>
        <v>39</v>
      </c>
      <c r="B48" s="5">
        <f t="shared" si="14"/>
        <v>61</v>
      </c>
      <c r="C48" s="3">
        <f t="shared" si="14"/>
        <v>66</v>
      </c>
      <c r="D48" s="34"/>
      <c r="E48" s="3"/>
      <c r="F48" s="3"/>
      <c r="G48" s="3"/>
      <c r="H48" s="3"/>
      <c r="I48" s="14"/>
      <c r="J48" s="24">
        <f t="shared" si="0"/>
        <v>0</v>
      </c>
      <c r="K48" s="5"/>
      <c r="L48" s="3"/>
      <c r="M48" s="3"/>
      <c r="N48" s="3"/>
      <c r="O48" s="3"/>
      <c r="P48" s="3"/>
      <c r="Q48" s="3"/>
      <c r="R48" s="3"/>
      <c r="S48" s="14"/>
      <c r="T48" s="18">
        <f t="shared" si="1"/>
        <v>0</v>
      </c>
      <c r="U48" s="24">
        <f t="shared" si="2"/>
        <v>0</v>
      </c>
      <c r="V48" s="5"/>
      <c r="W48" s="3"/>
      <c r="X48" s="3"/>
      <c r="Y48" s="3"/>
      <c r="Z48" s="3"/>
      <c r="AA48" s="3"/>
      <c r="AB48" s="14"/>
      <c r="AC48" s="18">
        <f t="shared" si="3"/>
        <v>0</v>
      </c>
      <c r="AD48" s="24">
        <f t="shared" si="4"/>
        <v>0</v>
      </c>
      <c r="AE48" s="5">
        <f t="shared" si="8"/>
        <v>0</v>
      </c>
      <c r="AF48" s="3"/>
      <c r="AG48" s="3">
        <f>IF(MOD(C48,MAX(入力!$AE$29,1))=入力!$AE$29-1,入力!$AD$29,0)
+IF(MOD(C48,MAX(入力!$AE$30,1))=入力!$AE$30-1,入力!$AD$30,0)
+IF(MOD(C48,MAX(入力!$AE$31,1))=入力!$AE$31-1,入力!$AD$31,0)
+IF(MOD(C48,MAX(入力!$AE$32,1))=入力!$AE$32-1,入力!$AD$32,0)
+IF(MOD(C48,MAX(入力!$AE$33,1))=入力!$AE$33-1,入力!$AD$33,0)
+IF(MOD(C48,MAX(入力!$AE$34,1))=入力!$AE$34-1,入力!$AD$34,0)
+IF(MOD(C48,MAX(入力!$AE$35,1))=入力!$AE$35-1,入力!$AD$35,0)</f>
        <v>0</v>
      </c>
      <c r="AH48" s="3">
        <f>IF(AND($C48&gt;=入力!$AC$24,$C48&lt;=入力!$AD$24,MOD(A48,入力!AG$24)=0),入力!$AL$24,IF(AND($C48&gt;=入力!$AC$25,$C48&lt;=入力!$AD$25,MOD(A48,入力!$AG$25)=0),入力!$AL$25,0))</f>
        <v>0</v>
      </c>
      <c r="AI48" s="3">
        <f>IF(AND($C48&gt;=入力!$AC$24,$C48&lt;=入力!$AD$24),入力!$AF$24/60*12,IF(AND($C48&gt;=入力!$AC$25,$C48&lt;=入力!$AD$25),入力!$AF$25/60*12,0))</f>
        <v>0</v>
      </c>
      <c r="AJ48" s="14">
        <f t="shared" si="9"/>
        <v>20.75</v>
      </c>
      <c r="AK48" s="18">
        <f t="shared" si="10"/>
        <v>20.75</v>
      </c>
      <c r="AL48" s="24">
        <f t="shared" si="5"/>
        <v>-20.75</v>
      </c>
      <c r="AM48" s="24">
        <f t="shared" si="6"/>
        <v>-2966.75</v>
      </c>
      <c r="AP48" t="str">
        <f>住居計算!A55</f>
        <v>マンション</v>
      </c>
      <c r="AQ48">
        <f>IF(AND($C48&gt;=入力!$AC$24,$C48&lt;=入力!$AD$24),入力!$AH$24/2,IF(AND($C48&gt;=入力!$AC$25,$C48&lt;=入力!$AD$25),入力!$AH$25/2,0))</f>
        <v>5</v>
      </c>
      <c r="AR48">
        <f>IF(AND($C48&gt;=入力!$AC$24,$C48&lt;=入力!$AD$24),入力!$AI$24,IF(AND($C48&gt;=入力!$AC$25,$C48&lt;=入力!$AD$25),入力!$AI$25,0))</f>
        <v>3.75</v>
      </c>
      <c r="AS48">
        <f>IF(AND($C48&gt;=入力!$AC$24,$C48&lt;=入力!$AD$24),入力!$AJ$24*12,IF(AND($C48&gt;=入力!$AC$25,$C48&lt;=入力!$AD$25),入力!$AJ$25*12,0))</f>
        <v>12</v>
      </c>
      <c r="AT48">
        <f t="shared" si="11"/>
        <v>20.75</v>
      </c>
      <c r="AU48">
        <f>IF(AND($C48&gt;=入力!$AC$24,$C48&lt;=入力!$AD$24,SUM(入力!$AE$24:$AF$24)&gt;0),車_大物家電!AT48,IF(AND($C48&gt;=入力!$AC$25,$C48&lt;=入力!$AD$25,SUM(入力!$AE$25:$AF$25)&gt;0),車_大物家電!AT48,0))</f>
        <v>20.75</v>
      </c>
    </row>
    <row r="49" spans="1:47" x14ac:dyDescent="0.25">
      <c r="A49">
        <f t="shared" si="12"/>
        <v>40</v>
      </c>
      <c r="B49" s="5">
        <f t="shared" si="14"/>
        <v>62</v>
      </c>
      <c r="C49" s="3">
        <f t="shared" si="14"/>
        <v>67</v>
      </c>
      <c r="D49" s="34"/>
      <c r="E49" s="3"/>
      <c r="F49" s="3"/>
      <c r="G49" s="3"/>
      <c r="H49" s="3"/>
      <c r="I49" s="14"/>
      <c r="J49" s="24">
        <f t="shared" si="0"/>
        <v>0</v>
      </c>
      <c r="K49" s="5"/>
      <c r="L49" s="3"/>
      <c r="M49" s="3"/>
      <c r="N49" s="3"/>
      <c r="O49" s="3"/>
      <c r="P49" s="3"/>
      <c r="Q49" s="3"/>
      <c r="R49" s="3"/>
      <c r="S49" s="14"/>
      <c r="T49" s="18">
        <f t="shared" si="1"/>
        <v>0</v>
      </c>
      <c r="U49" s="24">
        <f t="shared" si="2"/>
        <v>0</v>
      </c>
      <c r="V49" s="5"/>
      <c r="W49" s="3"/>
      <c r="X49" s="3"/>
      <c r="Y49" s="3"/>
      <c r="Z49" s="3"/>
      <c r="AA49" s="3"/>
      <c r="AB49" s="14"/>
      <c r="AC49" s="18">
        <f t="shared" si="3"/>
        <v>0</v>
      </c>
      <c r="AD49" s="24">
        <f t="shared" si="4"/>
        <v>0</v>
      </c>
      <c r="AE49" s="5">
        <f t="shared" si="8"/>
        <v>0</v>
      </c>
      <c r="AF49" s="3"/>
      <c r="AG49" s="3">
        <f>IF(MOD(C49,MAX(入力!$AE$29,1))=入力!$AE$29-1,入力!$AD$29,0)
+IF(MOD(C49,MAX(入力!$AE$30,1))=入力!$AE$30-1,入力!$AD$30,0)
+IF(MOD(C49,MAX(入力!$AE$31,1))=入力!$AE$31-1,入力!$AD$31,0)
+IF(MOD(C49,MAX(入力!$AE$32,1))=入力!$AE$32-1,入力!$AD$32,0)
+IF(MOD(C49,MAX(入力!$AE$33,1))=入力!$AE$33-1,入力!$AD$33,0)
+IF(MOD(C49,MAX(入力!$AE$34,1))=入力!$AE$34-1,入力!$AD$34,0)
+IF(MOD(C49,MAX(入力!$AE$35,1))=入力!$AE$35-1,入力!$AD$35,0)</f>
        <v>0</v>
      </c>
      <c r="AH49" s="3">
        <f>IF(AND($C49&gt;=入力!$AC$24,$C49&lt;=入力!$AD$24,MOD(A49,入力!AG$24)=0),入力!$AL$24,IF(AND($C49&gt;=入力!$AC$25,$C49&lt;=入力!$AD$25,MOD(A49,入力!$AG$25)=0),入力!$AL$25,0))</f>
        <v>0</v>
      </c>
      <c r="AI49" s="3">
        <f>IF(AND($C49&gt;=入力!$AC$24,$C49&lt;=入力!$AD$24),入力!$AF$24/60*12,IF(AND($C49&gt;=入力!$AC$25,$C49&lt;=入力!$AD$25),入力!$AF$25/60*12,0))</f>
        <v>0</v>
      </c>
      <c r="AJ49" s="14">
        <f t="shared" si="9"/>
        <v>20.75</v>
      </c>
      <c r="AK49" s="18">
        <f t="shared" si="10"/>
        <v>20.75</v>
      </c>
      <c r="AL49" s="24">
        <f t="shared" si="5"/>
        <v>-20.75</v>
      </c>
      <c r="AM49" s="24">
        <f t="shared" si="6"/>
        <v>-2987.5</v>
      </c>
      <c r="AP49" t="str">
        <f>住居計算!A56</f>
        <v>マンション</v>
      </c>
      <c r="AQ49">
        <f>IF(AND($C49&gt;=入力!$AC$24,$C49&lt;=入力!$AD$24),入力!$AH$24/2,IF(AND($C49&gt;=入力!$AC$25,$C49&lt;=入力!$AD$25),入力!$AH$25/2,0))</f>
        <v>5</v>
      </c>
      <c r="AR49">
        <f>IF(AND($C49&gt;=入力!$AC$24,$C49&lt;=入力!$AD$24),入力!$AI$24,IF(AND($C49&gt;=入力!$AC$25,$C49&lt;=入力!$AD$25),入力!$AI$25,0))</f>
        <v>3.75</v>
      </c>
      <c r="AS49">
        <f>IF(AND($C49&gt;=入力!$AC$24,$C49&lt;=入力!$AD$24),入力!$AJ$24*12,IF(AND($C49&gt;=入力!$AC$25,$C49&lt;=入力!$AD$25),入力!$AJ$25*12,0))</f>
        <v>12</v>
      </c>
      <c r="AT49">
        <f t="shared" si="11"/>
        <v>20.75</v>
      </c>
      <c r="AU49">
        <f>IF(AND($C49&gt;=入力!$AC$24,$C49&lt;=入力!$AD$24,SUM(入力!$AE$24:$AF$24)&gt;0),車_大物家電!AT49,IF(AND($C49&gt;=入力!$AC$25,$C49&lt;=入力!$AD$25,SUM(入力!$AE$25:$AF$25)&gt;0),車_大物家電!AT49,0))</f>
        <v>20.75</v>
      </c>
    </row>
    <row r="50" spans="1:47" x14ac:dyDescent="0.25">
      <c r="A50">
        <f t="shared" si="12"/>
        <v>41</v>
      </c>
      <c r="B50" s="5">
        <f t="shared" si="14"/>
        <v>63</v>
      </c>
      <c r="C50" s="3">
        <f t="shared" si="14"/>
        <v>68</v>
      </c>
      <c r="D50" s="34"/>
      <c r="E50" s="3"/>
      <c r="F50" s="3"/>
      <c r="G50" s="3"/>
      <c r="H50" s="3"/>
      <c r="I50" s="14"/>
      <c r="J50" s="24">
        <f t="shared" si="0"/>
        <v>0</v>
      </c>
      <c r="K50" s="5"/>
      <c r="L50" s="3"/>
      <c r="M50" s="3"/>
      <c r="N50" s="3"/>
      <c r="O50" s="3"/>
      <c r="P50" s="3"/>
      <c r="Q50" s="3"/>
      <c r="R50" s="3"/>
      <c r="S50" s="14"/>
      <c r="T50" s="18">
        <f t="shared" si="1"/>
        <v>0</v>
      </c>
      <c r="U50" s="24">
        <f t="shared" si="2"/>
        <v>0</v>
      </c>
      <c r="V50" s="5"/>
      <c r="W50" s="3"/>
      <c r="X50" s="3"/>
      <c r="Y50" s="3"/>
      <c r="Z50" s="3"/>
      <c r="AA50" s="3"/>
      <c r="AB50" s="14"/>
      <c r="AC50" s="18">
        <f t="shared" si="3"/>
        <v>0</v>
      </c>
      <c r="AD50" s="24">
        <f t="shared" si="4"/>
        <v>0</v>
      </c>
      <c r="AE50" s="5">
        <f t="shared" si="8"/>
        <v>0</v>
      </c>
      <c r="AF50" s="3"/>
      <c r="AG50" s="3">
        <f>IF(MOD(C50,MAX(入力!$AE$29,1))=入力!$AE$29-1,入力!$AD$29,0)
+IF(MOD(C50,MAX(入力!$AE$30,1))=入力!$AE$30-1,入力!$AD$30,0)
+IF(MOD(C50,MAX(入力!$AE$31,1))=入力!$AE$31-1,入力!$AD$31,0)
+IF(MOD(C50,MAX(入力!$AE$32,1))=入力!$AE$32-1,入力!$AD$32,0)
+IF(MOD(C50,MAX(入力!$AE$33,1))=入力!$AE$33-1,入力!$AD$33,0)
+IF(MOD(C50,MAX(入力!$AE$34,1))=入力!$AE$34-1,入力!$AD$34,0)
+IF(MOD(C50,MAX(入力!$AE$35,1))=入力!$AE$35-1,入力!$AD$35,0)</f>
        <v>0</v>
      </c>
      <c r="AH50" s="3">
        <f>IF(AND($C50&gt;=入力!$AC$24,$C50&lt;=入力!$AD$24,MOD(A50,入力!AG$24)=0),入力!$AL$24,IF(AND($C50&gt;=入力!$AC$25,$C50&lt;=入力!$AD$25,MOD(A50,入力!$AG$25)=0),入力!$AL$25,0))</f>
        <v>0</v>
      </c>
      <c r="AI50" s="3">
        <f>IF(AND($C50&gt;=入力!$AC$24,$C50&lt;=入力!$AD$24),入力!$AF$24/60*12,IF(AND($C50&gt;=入力!$AC$25,$C50&lt;=入力!$AD$25),入力!$AF$25/60*12,0))</f>
        <v>0</v>
      </c>
      <c r="AJ50" s="14">
        <f t="shared" si="9"/>
        <v>20.75</v>
      </c>
      <c r="AK50" s="18">
        <f t="shared" si="10"/>
        <v>20.75</v>
      </c>
      <c r="AL50" s="24">
        <f t="shared" si="5"/>
        <v>-20.75</v>
      </c>
      <c r="AM50" s="24">
        <f t="shared" si="6"/>
        <v>-3008.25</v>
      </c>
      <c r="AP50" t="str">
        <f>住居計算!A57</f>
        <v>マンション</v>
      </c>
      <c r="AQ50">
        <f>IF(AND($C50&gt;=入力!$AC$24,$C50&lt;=入力!$AD$24),入力!$AH$24/2,IF(AND($C50&gt;=入力!$AC$25,$C50&lt;=入力!$AD$25),入力!$AH$25/2,0))</f>
        <v>5</v>
      </c>
      <c r="AR50">
        <f>IF(AND($C50&gt;=入力!$AC$24,$C50&lt;=入力!$AD$24),入力!$AI$24,IF(AND($C50&gt;=入力!$AC$25,$C50&lt;=入力!$AD$25),入力!$AI$25,0))</f>
        <v>3.75</v>
      </c>
      <c r="AS50">
        <f>IF(AND($C50&gt;=入力!$AC$24,$C50&lt;=入力!$AD$24),入力!$AJ$24*12,IF(AND($C50&gt;=入力!$AC$25,$C50&lt;=入力!$AD$25),入力!$AJ$25*12,0))</f>
        <v>12</v>
      </c>
      <c r="AT50">
        <f t="shared" si="11"/>
        <v>20.75</v>
      </c>
      <c r="AU50">
        <f>IF(AND($C50&gt;=入力!$AC$24,$C50&lt;=入力!$AD$24,SUM(入力!$AE$24:$AF$24)&gt;0),車_大物家電!AT50,IF(AND($C50&gt;=入力!$AC$25,$C50&lt;=入力!$AD$25,SUM(入力!$AE$25:$AF$25)&gt;0),車_大物家電!AT50,0))</f>
        <v>20.75</v>
      </c>
    </row>
    <row r="51" spans="1:47" x14ac:dyDescent="0.25">
      <c r="A51">
        <f t="shared" si="12"/>
        <v>42</v>
      </c>
      <c r="B51" s="5">
        <f t="shared" si="14"/>
        <v>64</v>
      </c>
      <c r="C51" s="3">
        <f t="shared" si="14"/>
        <v>69</v>
      </c>
      <c r="D51" s="34"/>
      <c r="E51" s="3"/>
      <c r="F51" s="3"/>
      <c r="G51" s="3"/>
      <c r="H51" s="3"/>
      <c r="I51" s="14"/>
      <c r="J51" s="24">
        <f t="shared" si="0"/>
        <v>0</v>
      </c>
      <c r="K51" s="5"/>
      <c r="L51" s="3"/>
      <c r="M51" s="3"/>
      <c r="N51" s="3"/>
      <c r="O51" s="3"/>
      <c r="P51" s="3"/>
      <c r="Q51" s="3"/>
      <c r="R51" s="3"/>
      <c r="S51" s="14"/>
      <c r="T51" s="18">
        <f t="shared" si="1"/>
        <v>0</v>
      </c>
      <c r="U51" s="24">
        <f t="shared" si="2"/>
        <v>0</v>
      </c>
      <c r="V51" s="5"/>
      <c r="W51" s="3"/>
      <c r="X51" s="3"/>
      <c r="Y51" s="3"/>
      <c r="Z51" s="3"/>
      <c r="AA51" s="3"/>
      <c r="AB51" s="14"/>
      <c r="AC51" s="18">
        <f t="shared" si="3"/>
        <v>0</v>
      </c>
      <c r="AD51" s="24">
        <f t="shared" si="4"/>
        <v>0</v>
      </c>
      <c r="AE51" s="5">
        <f t="shared" si="8"/>
        <v>0</v>
      </c>
      <c r="AF51" s="3"/>
      <c r="AG51" s="3">
        <f>IF(MOD(C51,MAX(入力!$AE$29,1))=入力!$AE$29-1,入力!$AD$29,0)
+IF(MOD(C51,MAX(入力!$AE$30,1))=入力!$AE$30-1,入力!$AD$30,0)
+IF(MOD(C51,MAX(入力!$AE$31,1))=入力!$AE$31-1,入力!$AD$31,0)
+IF(MOD(C51,MAX(入力!$AE$32,1))=入力!$AE$32-1,入力!$AD$32,0)
+IF(MOD(C51,MAX(入力!$AE$33,1))=入力!$AE$33-1,入力!$AD$33,0)
+IF(MOD(C51,MAX(入力!$AE$34,1))=入力!$AE$34-1,入力!$AD$34,0)
+IF(MOD(C51,MAX(入力!$AE$35,1))=入力!$AE$35-1,入力!$AD$35,0)</f>
        <v>57</v>
      </c>
      <c r="AH51" s="3">
        <f>IF(AND($C51&gt;=入力!$AC$24,$C51&lt;=入力!$AD$24,MOD(A51,入力!AG$24)=0),入力!$AL$24,IF(AND($C51&gt;=入力!$AC$25,$C51&lt;=入力!$AD$25,MOD(A51,入力!$AG$25)=0),入力!$AL$25,0))</f>
        <v>250</v>
      </c>
      <c r="AI51" s="3">
        <f>IF(AND($C51&gt;=入力!$AC$24,$C51&lt;=入力!$AD$24),入力!$AF$24/60*12,IF(AND($C51&gt;=入力!$AC$25,$C51&lt;=入力!$AD$25),入力!$AF$25/60*12,0))</f>
        <v>0</v>
      </c>
      <c r="AJ51" s="14">
        <f t="shared" si="9"/>
        <v>20.75</v>
      </c>
      <c r="AK51" s="18">
        <f t="shared" si="10"/>
        <v>327.75</v>
      </c>
      <c r="AL51" s="24">
        <f t="shared" si="5"/>
        <v>-327.75</v>
      </c>
      <c r="AM51" s="24">
        <f t="shared" si="6"/>
        <v>-3336</v>
      </c>
      <c r="AP51" t="str">
        <f>住居計算!A58</f>
        <v>マンション</v>
      </c>
      <c r="AQ51">
        <f>IF(AND($C51&gt;=入力!$AC$24,$C51&lt;=入力!$AD$24),入力!$AH$24/2,IF(AND($C51&gt;=入力!$AC$25,$C51&lt;=入力!$AD$25),入力!$AH$25/2,0))</f>
        <v>5</v>
      </c>
      <c r="AR51">
        <f>IF(AND($C51&gt;=入力!$AC$24,$C51&lt;=入力!$AD$24),入力!$AI$24,IF(AND($C51&gt;=入力!$AC$25,$C51&lt;=入力!$AD$25),入力!$AI$25,0))</f>
        <v>3.75</v>
      </c>
      <c r="AS51">
        <f>IF(AND($C51&gt;=入力!$AC$24,$C51&lt;=入力!$AD$24),入力!$AJ$24*12,IF(AND($C51&gt;=入力!$AC$25,$C51&lt;=入力!$AD$25),入力!$AJ$25*12,0))</f>
        <v>12</v>
      </c>
      <c r="AT51">
        <f t="shared" si="11"/>
        <v>20.75</v>
      </c>
      <c r="AU51">
        <f>IF(AND($C51&gt;=入力!$AC$24,$C51&lt;=入力!$AD$24,SUM(入力!$AE$24:$AF$24)&gt;0),車_大物家電!AT51,IF(AND($C51&gt;=入力!$AC$25,$C51&lt;=入力!$AD$25,SUM(入力!$AE$25:$AF$25)&gt;0),車_大物家電!AT51,0))</f>
        <v>20.75</v>
      </c>
    </row>
    <row r="52" spans="1:47" x14ac:dyDescent="0.25">
      <c r="A52">
        <f t="shared" si="12"/>
        <v>43</v>
      </c>
      <c r="B52" s="5">
        <f t="shared" si="14"/>
        <v>65</v>
      </c>
      <c r="C52" s="3">
        <f t="shared" si="14"/>
        <v>70</v>
      </c>
      <c r="D52" s="34"/>
      <c r="E52" s="3"/>
      <c r="F52" s="3"/>
      <c r="G52" s="3"/>
      <c r="H52" s="3"/>
      <c r="I52" s="14"/>
      <c r="J52" s="24">
        <f t="shared" si="0"/>
        <v>0</v>
      </c>
      <c r="K52" s="5"/>
      <c r="L52" s="3"/>
      <c r="M52" s="3"/>
      <c r="N52" s="3"/>
      <c r="O52" s="3"/>
      <c r="P52" s="3"/>
      <c r="Q52" s="3"/>
      <c r="R52" s="3"/>
      <c r="S52" s="14"/>
      <c r="T52" s="18">
        <f t="shared" si="1"/>
        <v>0</v>
      </c>
      <c r="U52" s="24">
        <f t="shared" si="2"/>
        <v>0</v>
      </c>
      <c r="V52" s="5"/>
      <c r="W52" s="3"/>
      <c r="X52" s="3"/>
      <c r="Y52" s="3"/>
      <c r="Z52" s="3"/>
      <c r="AA52" s="3"/>
      <c r="AB52" s="14"/>
      <c r="AC52" s="18">
        <f t="shared" si="3"/>
        <v>0</v>
      </c>
      <c r="AD52" s="24">
        <f t="shared" si="4"/>
        <v>0</v>
      </c>
      <c r="AE52" s="5">
        <f t="shared" si="8"/>
        <v>0</v>
      </c>
      <c r="AF52" s="3"/>
      <c r="AG52" s="3">
        <f>IF(MOD(C52,MAX(入力!$AE$29,1))=入力!$AE$29-1,入力!$AD$29,0)
+IF(MOD(C52,MAX(入力!$AE$30,1))=入力!$AE$30-1,入力!$AD$30,0)
+IF(MOD(C52,MAX(入力!$AE$31,1))=入力!$AE$31-1,入力!$AD$31,0)
+IF(MOD(C52,MAX(入力!$AE$32,1))=入力!$AE$32-1,入力!$AD$32,0)
+IF(MOD(C52,MAX(入力!$AE$33,1))=入力!$AE$33-1,入力!$AD$33,0)
+IF(MOD(C52,MAX(入力!$AE$34,1))=入力!$AE$34-1,入力!$AD$34,0)
+IF(MOD(C52,MAX(入力!$AE$35,1))=入力!$AE$35-1,入力!$AD$35,0)</f>
        <v>0</v>
      </c>
      <c r="AH52" s="3">
        <f>IF(AND($C52&gt;=入力!$AC$24,$C52&lt;=入力!$AD$24,MOD(A52,入力!AG$24)=0),入力!$AL$24,IF(AND($C52&gt;=入力!$AC$25,$C52&lt;=入力!$AD$25,MOD(A52,入力!$AG$25)=0),入力!$AL$25,0))</f>
        <v>0</v>
      </c>
      <c r="AI52" s="3">
        <f>IF(AND($C52&gt;=入力!$AC$24,$C52&lt;=入力!$AD$24),入力!$AF$24/60*12,IF(AND($C52&gt;=入力!$AC$25,$C52&lt;=入力!$AD$25),入力!$AF$25/60*12,0))</f>
        <v>0</v>
      </c>
      <c r="AJ52" s="14">
        <f t="shared" si="9"/>
        <v>20.75</v>
      </c>
      <c r="AK52" s="18">
        <f t="shared" si="10"/>
        <v>20.75</v>
      </c>
      <c r="AL52" s="24">
        <f t="shared" si="5"/>
        <v>-20.75</v>
      </c>
      <c r="AM52" s="24">
        <f t="shared" si="6"/>
        <v>-3356.75</v>
      </c>
      <c r="AP52" t="str">
        <f>住居計算!A59</f>
        <v>マンション</v>
      </c>
      <c r="AQ52">
        <f>IF(AND($C52&gt;=入力!$AC$24,$C52&lt;=入力!$AD$24),入力!$AH$24/2,IF(AND($C52&gt;=入力!$AC$25,$C52&lt;=入力!$AD$25),入力!$AH$25/2,0))</f>
        <v>5</v>
      </c>
      <c r="AR52">
        <f>IF(AND($C52&gt;=入力!$AC$24,$C52&lt;=入力!$AD$24),入力!$AI$24,IF(AND($C52&gt;=入力!$AC$25,$C52&lt;=入力!$AD$25),入力!$AI$25,0))</f>
        <v>3.75</v>
      </c>
      <c r="AS52">
        <f>IF(AND($C52&gt;=入力!$AC$24,$C52&lt;=入力!$AD$24),入力!$AJ$24*12,IF(AND($C52&gt;=入力!$AC$25,$C52&lt;=入力!$AD$25),入力!$AJ$25*12,0))</f>
        <v>12</v>
      </c>
      <c r="AT52">
        <f t="shared" si="11"/>
        <v>20.75</v>
      </c>
      <c r="AU52">
        <f>IF(AND($C52&gt;=入力!$AC$24,$C52&lt;=入力!$AD$24,SUM(入力!$AE$24:$AF$24)&gt;0),車_大物家電!AT52,IF(AND($C52&gt;=入力!$AC$25,$C52&lt;=入力!$AD$25,SUM(入力!$AE$25:$AF$25)&gt;0),車_大物家電!AT52,0))</f>
        <v>20.75</v>
      </c>
    </row>
    <row r="53" spans="1:47" x14ac:dyDescent="0.25">
      <c r="A53">
        <f t="shared" si="12"/>
        <v>44</v>
      </c>
      <c r="B53" s="5">
        <f t="shared" si="14"/>
        <v>66</v>
      </c>
      <c r="C53" s="3">
        <f t="shared" si="14"/>
        <v>71</v>
      </c>
      <c r="D53" s="34"/>
      <c r="E53" s="3"/>
      <c r="F53" s="3"/>
      <c r="G53" s="3"/>
      <c r="H53" s="3"/>
      <c r="I53" s="14"/>
      <c r="J53" s="24">
        <f t="shared" si="0"/>
        <v>0</v>
      </c>
      <c r="K53" s="5"/>
      <c r="L53" s="3"/>
      <c r="M53" s="3"/>
      <c r="N53" s="3"/>
      <c r="O53" s="3"/>
      <c r="P53" s="3"/>
      <c r="Q53" s="3"/>
      <c r="R53" s="3"/>
      <c r="S53" s="14"/>
      <c r="T53" s="18">
        <f t="shared" si="1"/>
        <v>0</v>
      </c>
      <c r="U53" s="24">
        <f t="shared" si="2"/>
        <v>0</v>
      </c>
      <c r="V53" s="5"/>
      <c r="W53" s="3"/>
      <c r="X53" s="3"/>
      <c r="Y53" s="3"/>
      <c r="Z53" s="3"/>
      <c r="AA53" s="3"/>
      <c r="AB53" s="14"/>
      <c r="AC53" s="18">
        <f t="shared" si="3"/>
        <v>0</v>
      </c>
      <c r="AD53" s="24">
        <f t="shared" si="4"/>
        <v>0</v>
      </c>
      <c r="AE53" s="5">
        <f t="shared" si="8"/>
        <v>0</v>
      </c>
      <c r="AF53" s="3"/>
      <c r="AG53" s="3">
        <f>IF(MOD(C53,MAX(入力!$AE$29,1))=入力!$AE$29-1,入力!$AD$29,0)
+IF(MOD(C53,MAX(入力!$AE$30,1))=入力!$AE$30-1,入力!$AD$30,0)
+IF(MOD(C53,MAX(入力!$AE$31,1))=入力!$AE$31-1,入力!$AD$31,0)
+IF(MOD(C53,MAX(入力!$AE$32,1))=入力!$AE$32-1,入力!$AD$32,0)
+IF(MOD(C53,MAX(入力!$AE$33,1))=入力!$AE$33-1,入力!$AD$33,0)
+IF(MOD(C53,MAX(入力!$AE$34,1))=入力!$AE$34-1,入力!$AD$34,0)
+IF(MOD(C53,MAX(入力!$AE$35,1))=入力!$AE$35-1,入力!$AD$35,0)</f>
        <v>0</v>
      </c>
      <c r="AH53" s="3">
        <f>IF(AND($C53&gt;=入力!$AC$24,$C53&lt;=入力!$AD$24,MOD(A53,入力!AG$24)=0),入力!$AL$24,IF(AND($C53&gt;=入力!$AC$25,$C53&lt;=入力!$AD$25,MOD(A53,入力!$AG$25)=0),入力!$AL$25,0))</f>
        <v>0</v>
      </c>
      <c r="AI53" s="3">
        <f>IF(AND($C53&gt;=入力!$AC$24,$C53&lt;=入力!$AD$24),入力!$AF$24/60*12,IF(AND($C53&gt;=入力!$AC$25,$C53&lt;=入力!$AD$25),入力!$AF$25/60*12,0))</f>
        <v>0</v>
      </c>
      <c r="AJ53" s="14">
        <f t="shared" si="9"/>
        <v>20.75</v>
      </c>
      <c r="AK53" s="18">
        <f t="shared" si="10"/>
        <v>20.75</v>
      </c>
      <c r="AL53" s="24">
        <f t="shared" si="5"/>
        <v>-20.75</v>
      </c>
      <c r="AM53" s="24">
        <f t="shared" si="6"/>
        <v>-3377.5</v>
      </c>
      <c r="AP53" t="str">
        <f>住居計算!A60</f>
        <v>マンション</v>
      </c>
      <c r="AQ53">
        <f>IF(AND($C53&gt;=入力!$AC$24,$C53&lt;=入力!$AD$24),入力!$AH$24/2,IF(AND($C53&gt;=入力!$AC$25,$C53&lt;=入力!$AD$25),入力!$AH$25/2,0))</f>
        <v>5</v>
      </c>
      <c r="AR53">
        <f>IF(AND($C53&gt;=入力!$AC$24,$C53&lt;=入力!$AD$24),入力!$AI$24,IF(AND($C53&gt;=入力!$AC$25,$C53&lt;=入力!$AD$25),入力!$AI$25,0))</f>
        <v>3.75</v>
      </c>
      <c r="AS53">
        <f>IF(AND($C53&gt;=入力!$AC$24,$C53&lt;=入力!$AD$24),入力!$AJ$24*12,IF(AND($C53&gt;=入力!$AC$25,$C53&lt;=入力!$AD$25),入力!$AJ$25*12,0))</f>
        <v>12</v>
      </c>
      <c r="AT53">
        <f t="shared" si="11"/>
        <v>20.75</v>
      </c>
      <c r="AU53">
        <f>IF(AND($C53&gt;=入力!$AC$24,$C53&lt;=入力!$AD$24,SUM(入力!$AE$24:$AF$24)&gt;0),車_大物家電!AT53,IF(AND($C53&gt;=入力!$AC$25,$C53&lt;=入力!$AD$25,SUM(入力!$AE$25:$AF$25)&gt;0),車_大物家電!AT53,0))</f>
        <v>20.75</v>
      </c>
    </row>
    <row r="54" spans="1:47" x14ac:dyDescent="0.25">
      <c r="A54">
        <f t="shared" si="12"/>
        <v>45</v>
      </c>
      <c r="B54" s="5">
        <f t="shared" si="14"/>
        <v>67</v>
      </c>
      <c r="C54" s="3">
        <f t="shared" si="14"/>
        <v>72</v>
      </c>
      <c r="D54" s="34"/>
      <c r="E54" s="3"/>
      <c r="F54" s="3"/>
      <c r="G54" s="3"/>
      <c r="H54" s="3"/>
      <c r="I54" s="14"/>
      <c r="J54" s="24">
        <f t="shared" si="0"/>
        <v>0</v>
      </c>
      <c r="K54" s="5"/>
      <c r="L54" s="3"/>
      <c r="M54" s="3"/>
      <c r="N54" s="3"/>
      <c r="O54" s="3"/>
      <c r="P54" s="3"/>
      <c r="Q54" s="3"/>
      <c r="R54" s="3"/>
      <c r="S54" s="14"/>
      <c r="T54" s="18">
        <f t="shared" si="1"/>
        <v>0</v>
      </c>
      <c r="U54" s="24">
        <f t="shared" si="2"/>
        <v>0</v>
      </c>
      <c r="V54" s="5"/>
      <c r="W54" s="3"/>
      <c r="X54" s="3"/>
      <c r="Y54" s="3"/>
      <c r="Z54" s="3"/>
      <c r="AA54" s="3"/>
      <c r="AB54" s="14"/>
      <c r="AC54" s="18">
        <f t="shared" si="3"/>
        <v>0</v>
      </c>
      <c r="AD54" s="24">
        <f t="shared" si="4"/>
        <v>0</v>
      </c>
      <c r="AE54" s="5">
        <f t="shared" si="8"/>
        <v>0</v>
      </c>
      <c r="AF54" s="3"/>
      <c r="AG54" s="3">
        <f>IF(MOD(C54,MAX(入力!$AE$29,1))=入力!$AE$29-1,入力!$AD$29,0)
+IF(MOD(C54,MAX(入力!$AE$30,1))=入力!$AE$30-1,入力!$AD$30,0)
+IF(MOD(C54,MAX(入力!$AE$31,1))=入力!$AE$31-1,入力!$AD$31,0)
+IF(MOD(C54,MAX(入力!$AE$32,1))=入力!$AE$32-1,入力!$AD$32,0)
+IF(MOD(C54,MAX(入力!$AE$33,1))=入力!$AE$33-1,入力!$AD$33,0)
+IF(MOD(C54,MAX(入力!$AE$34,1))=入力!$AE$34-1,入力!$AD$34,0)
+IF(MOD(C54,MAX(入力!$AE$35,1))=入力!$AE$35-1,入力!$AD$35,0)</f>
        <v>0</v>
      </c>
      <c r="AH54" s="3">
        <f>IF(AND($C54&gt;=入力!$AC$24,$C54&lt;=入力!$AD$24,MOD(A54,入力!AG$24)=0),入力!$AL$24,IF(AND($C54&gt;=入力!$AC$25,$C54&lt;=入力!$AD$25,MOD(A54,入力!$AG$25)=0),入力!$AL$25,0))</f>
        <v>0</v>
      </c>
      <c r="AI54" s="3">
        <f>IF(AND($C54&gt;=入力!$AC$24,$C54&lt;=入力!$AD$24),入力!$AF$24/60*12,IF(AND($C54&gt;=入力!$AC$25,$C54&lt;=入力!$AD$25),入力!$AF$25/60*12,0))</f>
        <v>0</v>
      </c>
      <c r="AJ54" s="14">
        <f t="shared" si="9"/>
        <v>20.75</v>
      </c>
      <c r="AK54" s="18">
        <f t="shared" si="10"/>
        <v>20.75</v>
      </c>
      <c r="AL54" s="24">
        <f t="shared" si="5"/>
        <v>-20.75</v>
      </c>
      <c r="AM54" s="24">
        <f t="shared" si="6"/>
        <v>-3398.25</v>
      </c>
      <c r="AP54" t="str">
        <f>住居計算!A61</f>
        <v>マンション</v>
      </c>
      <c r="AQ54">
        <f>IF(AND($C54&gt;=入力!$AC$24,$C54&lt;=入力!$AD$24),入力!$AH$24/2,IF(AND($C54&gt;=入力!$AC$25,$C54&lt;=入力!$AD$25),入力!$AH$25/2,0))</f>
        <v>5</v>
      </c>
      <c r="AR54">
        <f>IF(AND($C54&gt;=入力!$AC$24,$C54&lt;=入力!$AD$24),入力!$AI$24,IF(AND($C54&gt;=入力!$AC$25,$C54&lt;=入力!$AD$25),入力!$AI$25,0))</f>
        <v>3.75</v>
      </c>
      <c r="AS54">
        <f>IF(AND($C54&gt;=入力!$AC$24,$C54&lt;=入力!$AD$24),入力!$AJ$24*12,IF(AND($C54&gt;=入力!$AC$25,$C54&lt;=入力!$AD$25),入力!$AJ$25*12,0))</f>
        <v>12</v>
      </c>
      <c r="AT54">
        <f t="shared" si="11"/>
        <v>20.75</v>
      </c>
      <c r="AU54">
        <f>IF(AND($C54&gt;=入力!$AC$24,$C54&lt;=入力!$AD$24,SUM(入力!$AE$24:$AF$24)&gt;0),車_大物家電!AT54,IF(AND($C54&gt;=入力!$AC$25,$C54&lt;=入力!$AD$25,SUM(入力!$AE$25:$AF$25)&gt;0),車_大物家電!AT54,0))</f>
        <v>20.75</v>
      </c>
    </row>
    <row r="55" spans="1:47" x14ac:dyDescent="0.25">
      <c r="A55">
        <f t="shared" si="12"/>
        <v>46</v>
      </c>
      <c r="B55" s="5">
        <f t="shared" ref="B55:C70" si="15">B54+1</f>
        <v>68</v>
      </c>
      <c r="C55" s="3">
        <f t="shared" si="15"/>
        <v>73</v>
      </c>
      <c r="D55" s="34"/>
      <c r="E55" s="3"/>
      <c r="F55" s="3"/>
      <c r="G55" s="3"/>
      <c r="H55" s="3"/>
      <c r="I55" s="14"/>
      <c r="J55" s="24">
        <f t="shared" si="0"/>
        <v>0</v>
      </c>
      <c r="K55" s="5"/>
      <c r="L55" s="3"/>
      <c r="M55" s="3"/>
      <c r="N55" s="3"/>
      <c r="O55" s="3"/>
      <c r="P55" s="3"/>
      <c r="Q55" s="3"/>
      <c r="R55" s="3"/>
      <c r="S55" s="14"/>
      <c r="T55" s="18">
        <f t="shared" si="1"/>
        <v>0</v>
      </c>
      <c r="U55" s="24">
        <f t="shared" si="2"/>
        <v>0</v>
      </c>
      <c r="V55" s="5"/>
      <c r="W55" s="3"/>
      <c r="X55" s="3"/>
      <c r="Y55" s="3"/>
      <c r="Z55" s="3"/>
      <c r="AA55" s="3"/>
      <c r="AB55" s="14"/>
      <c r="AC55" s="18">
        <f t="shared" si="3"/>
        <v>0</v>
      </c>
      <c r="AD55" s="24">
        <f t="shared" si="4"/>
        <v>0</v>
      </c>
      <c r="AE55" s="5">
        <f t="shared" si="8"/>
        <v>0</v>
      </c>
      <c r="AF55" s="3"/>
      <c r="AG55" s="3">
        <f>IF(MOD(C55,MAX(入力!$AE$29,1))=入力!$AE$29-1,入力!$AD$29,0)
+IF(MOD(C55,MAX(入力!$AE$30,1))=入力!$AE$30-1,入力!$AD$30,0)
+IF(MOD(C55,MAX(入力!$AE$31,1))=入力!$AE$31-1,入力!$AD$31,0)
+IF(MOD(C55,MAX(入力!$AE$32,1))=入力!$AE$32-1,入力!$AD$32,0)
+IF(MOD(C55,MAX(入力!$AE$33,1))=入力!$AE$33-1,入力!$AD$33,0)
+IF(MOD(C55,MAX(入力!$AE$34,1))=入力!$AE$34-1,入力!$AD$34,0)
+IF(MOD(C55,MAX(入力!$AE$35,1))=入力!$AE$35-1,入力!$AD$35,0)</f>
        <v>0</v>
      </c>
      <c r="AH55" s="3">
        <f>IF(AND($C55&gt;=入力!$AC$24,$C55&lt;=入力!$AD$24,MOD(A55,入力!AG$24)=0),入力!$AL$24,IF(AND($C55&gt;=入力!$AC$25,$C55&lt;=入力!$AD$25,MOD(A55,入力!$AG$25)=0),入力!$AL$25,0))</f>
        <v>0</v>
      </c>
      <c r="AI55" s="3">
        <f>IF(AND($C55&gt;=入力!$AC$24,$C55&lt;=入力!$AD$24),入力!$AF$24/60*12,IF(AND($C55&gt;=入力!$AC$25,$C55&lt;=入力!$AD$25),入力!$AF$25/60*12,0))</f>
        <v>0</v>
      </c>
      <c r="AJ55" s="14">
        <f t="shared" si="9"/>
        <v>20.75</v>
      </c>
      <c r="AK55" s="18">
        <f t="shared" si="10"/>
        <v>20.75</v>
      </c>
      <c r="AL55" s="24">
        <f t="shared" si="5"/>
        <v>-20.75</v>
      </c>
      <c r="AM55" s="24">
        <f t="shared" si="6"/>
        <v>-3419</v>
      </c>
      <c r="AP55" t="str">
        <f>住居計算!A62</f>
        <v>マンション</v>
      </c>
      <c r="AQ55">
        <f>IF(AND($C55&gt;=入力!$AC$24,$C55&lt;=入力!$AD$24),入力!$AH$24/2,IF(AND($C55&gt;=入力!$AC$25,$C55&lt;=入力!$AD$25),入力!$AH$25/2,0))</f>
        <v>5</v>
      </c>
      <c r="AR55">
        <f>IF(AND($C55&gt;=入力!$AC$24,$C55&lt;=入力!$AD$24),入力!$AI$24,IF(AND($C55&gt;=入力!$AC$25,$C55&lt;=入力!$AD$25),入力!$AI$25,0))</f>
        <v>3.75</v>
      </c>
      <c r="AS55">
        <f>IF(AND($C55&gt;=入力!$AC$24,$C55&lt;=入力!$AD$24),入力!$AJ$24*12,IF(AND($C55&gt;=入力!$AC$25,$C55&lt;=入力!$AD$25),入力!$AJ$25*12,0))</f>
        <v>12</v>
      </c>
      <c r="AT55">
        <f t="shared" si="11"/>
        <v>20.75</v>
      </c>
      <c r="AU55">
        <f>IF(AND($C55&gt;=入力!$AC$24,$C55&lt;=入力!$AD$24,SUM(入力!$AE$24:$AF$24)&gt;0),車_大物家電!AT55,IF(AND($C55&gt;=入力!$AC$25,$C55&lt;=入力!$AD$25,SUM(入力!$AE$25:$AF$25)&gt;0),車_大物家電!AT55,0))</f>
        <v>20.75</v>
      </c>
    </row>
    <row r="56" spans="1:47" x14ac:dyDescent="0.25">
      <c r="A56">
        <f t="shared" si="12"/>
        <v>47</v>
      </c>
      <c r="B56" s="5">
        <f t="shared" si="15"/>
        <v>69</v>
      </c>
      <c r="C56" s="3">
        <f t="shared" si="15"/>
        <v>74</v>
      </c>
      <c r="D56" s="34"/>
      <c r="E56" s="3"/>
      <c r="F56" s="3"/>
      <c r="G56" s="3"/>
      <c r="H56" s="3"/>
      <c r="I56" s="14"/>
      <c r="J56" s="24">
        <f t="shared" si="0"/>
        <v>0</v>
      </c>
      <c r="K56" s="5"/>
      <c r="L56" s="3"/>
      <c r="M56" s="3"/>
      <c r="N56" s="3"/>
      <c r="O56" s="3"/>
      <c r="P56" s="3"/>
      <c r="Q56" s="3"/>
      <c r="R56" s="3"/>
      <c r="S56" s="14"/>
      <c r="T56" s="18">
        <f t="shared" si="1"/>
        <v>0</v>
      </c>
      <c r="U56" s="24">
        <f t="shared" si="2"/>
        <v>0</v>
      </c>
      <c r="V56" s="5"/>
      <c r="W56" s="3"/>
      <c r="X56" s="3"/>
      <c r="Y56" s="3"/>
      <c r="Z56" s="3"/>
      <c r="AA56" s="3"/>
      <c r="AB56" s="14"/>
      <c r="AC56" s="18">
        <f t="shared" si="3"/>
        <v>0</v>
      </c>
      <c r="AD56" s="24">
        <f t="shared" si="4"/>
        <v>0</v>
      </c>
      <c r="AE56" s="5">
        <f t="shared" si="8"/>
        <v>0</v>
      </c>
      <c r="AF56" s="3"/>
      <c r="AG56" s="3">
        <f>IF(MOD(C56,MAX(入力!$AE$29,1))=入力!$AE$29-1,入力!$AD$29,0)
+IF(MOD(C56,MAX(入力!$AE$30,1))=入力!$AE$30-1,入力!$AD$30,0)
+IF(MOD(C56,MAX(入力!$AE$31,1))=入力!$AE$31-1,入力!$AD$31,0)
+IF(MOD(C56,MAX(入力!$AE$32,1))=入力!$AE$32-1,入力!$AD$32,0)
+IF(MOD(C56,MAX(入力!$AE$33,1))=入力!$AE$33-1,入力!$AD$33,0)
+IF(MOD(C56,MAX(入力!$AE$34,1))=入力!$AE$34-1,入力!$AD$34,0)
+IF(MOD(C56,MAX(入力!$AE$35,1))=入力!$AE$35-1,入力!$AD$35,0)</f>
        <v>3</v>
      </c>
      <c r="AH56" s="3">
        <f>IF(AND($C56&gt;=入力!$AC$24,$C56&lt;=入力!$AD$24,MOD(A56,入力!AG$24)=0),入力!$AL$24,IF(AND($C56&gt;=入力!$AC$25,$C56&lt;=入力!$AD$25,MOD(A56,入力!$AG$25)=0),入力!$AL$25,0))</f>
        <v>0</v>
      </c>
      <c r="AI56" s="3">
        <f>IF(AND($C56&gt;=入力!$AC$24,$C56&lt;=入力!$AD$24),入力!$AF$24/60*12,IF(AND($C56&gt;=入力!$AC$25,$C56&lt;=入力!$AD$25),入力!$AF$25/60*12,0))</f>
        <v>0</v>
      </c>
      <c r="AJ56" s="14">
        <f t="shared" si="9"/>
        <v>20.75</v>
      </c>
      <c r="AK56" s="18">
        <f t="shared" si="10"/>
        <v>23.75</v>
      </c>
      <c r="AL56" s="24">
        <f t="shared" si="5"/>
        <v>-23.75</v>
      </c>
      <c r="AM56" s="24">
        <f t="shared" si="6"/>
        <v>-3442.75</v>
      </c>
      <c r="AP56" t="str">
        <f>住居計算!A63</f>
        <v>マンション</v>
      </c>
      <c r="AQ56">
        <f>IF(AND($C56&gt;=入力!$AC$24,$C56&lt;=入力!$AD$24),入力!$AH$24/2,IF(AND($C56&gt;=入力!$AC$25,$C56&lt;=入力!$AD$25),入力!$AH$25/2,0))</f>
        <v>5</v>
      </c>
      <c r="AR56">
        <f>IF(AND($C56&gt;=入力!$AC$24,$C56&lt;=入力!$AD$24),入力!$AI$24,IF(AND($C56&gt;=入力!$AC$25,$C56&lt;=入力!$AD$25),入力!$AI$25,0))</f>
        <v>3.75</v>
      </c>
      <c r="AS56">
        <f>IF(AND($C56&gt;=入力!$AC$24,$C56&lt;=入力!$AD$24),入力!$AJ$24*12,IF(AND($C56&gt;=入力!$AC$25,$C56&lt;=入力!$AD$25),入力!$AJ$25*12,0))</f>
        <v>12</v>
      </c>
      <c r="AT56">
        <f t="shared" si="11"/>
        <v>20.75</v>
      </c>
      <c r="AU56">
        <f>IF(AND($C56&gt;=入力!$AC$24,$C56&lt;=入力!$AD$24,SUM(入力!$AE$24:$AF$24)&gt;0),車_大物家電!AT56,IF(AND($C56&gt;=入力!$AC$25,$C56&lt;=入力!$AD$25,SUM(入力!$AE$25:$AF$25)&gt;0),車_大物家電!AT56,0))</f>
        <v>20.75</v>
      </c>
    </row>
    <row r="57" spans="1:47" x14ac:dyDescent="0.25">
      <c r="A57">
        <f t="shared" si="12"/>
        <v>48</v>
      </c>
      <c r="B57" s="5">
        <f t="shared" si="15"/>
        <v>70</v>
      </c>
      <c r="C57" s="3">
        <f t="shared" si="15"/>
        <v>75</v>
      </c>
      <c r="D57" s="34"/>
      <c r="E57" s="3"/>
      <c r="F57" s="3"/>
      <c r="G57" s="3"/>
      <c r="H57" s="3"/>
      <c r="I57" s="14"/>
      <c r="J57" s="24">
        <f t="shared" si="0"/>
        <v>0</v>
      </c>
      <c r="K57" s="5"/>
      <c r="L57" s="3"/>
      <c r="M57" s="3"/>
      <c r="N57" s="3"/>
      <c r="O57" s="3"/>
      <c r="P57" s="3"/>
      <c r="Q57" s="3"/>
      <c r="R57" s="3"/>
      <c r="S57" s="14"/>
      <c r="T57" s="18">
        <f t="shared" si="1"/>
        <v>0</v>
      </c>
      <c r="U57" s="24">
        <f t="shared" si="2"/>
        <v>0</v>
      </c>
      <c r="V57" s="5"/>
      <c r="W57" s="3"/>
      <c r="X57" s="3"/>
      <c r="Y57" s="3"/>
      <c r="Z57" s="3"/>
      <c r="AA57" s="3"/>
      <c r="AB57" s="14"/>
      <c r="AC57" s="18">
        <f t="shared" si="3"/>
        <v>0</v>
      </c>
      <c r="AD57" s="24">
        <f t="shared" si="4"/>
        <v>0</v>
      </c>
      <c r="AE57" s="5">
        <f t="shared" si="8"/>
        <v>0</v>
      </c>
      <c r="AF57" s="3"/>
      <c r="AG57" s="3">
        <f>IF(MOD(C57,MAX(入力!$AE$29,1))=入力!$AE$29-1,入力!$AD$29,0)
+IF(MOD(C57,MAX(入力!$AE$30,1))=入力!$AE$30-1,入力!$AD$30,0)
+IF(MOD(C57,MAX(入力!$AE$31,1))=入力!$AE$31-1,入力!$AD$31,0)
+IF(MOD(C57,MAX(入力!$AE$32,1))=入力!$AE$32-1,入力!$AD$32,0)
+IF(MOD(C57,MAX(入力!$AE$33,1))=入力!$AE$33-1,入力!$AD$33,0)
+IF(MOD(C57,MAX(入力!$AE$34,1))=入力!$AE$34-1,入力!$AD$34,0)
+IF(MOD(C57,MAX(入力!$AE$35,1))=入力!$AE$35-1,入力!$AD$35,0)</f>
        <v>0</v>
      </c>
      <c r="AH57" s="3">
        <f>IF(AND($C57&gt;=入力!$AC$24,$C57&lt;=入力!$AD$24,MOD(A57,入力!AG$24)=0),入力!$AL$24,IF(AND($C57&gt;=入力!$AC$25,$C57&lt;=入力!$AD$25,MOD(A57,入力!$AG$25)=0),入力!$AL$25,0))</f>
        <v>0</v>
      </c>
      <c r="AI57" s="3">
        <f>IF(AND($C57&gt;=入力!$AC$24,$C57&lt;=入力!$AD$24),入力!$AF$24/60*12,IF(AND($C57&gt;=入力!$AC$25,$C57&lt;=入力!$AD$25),入力!$AF$25/60*12,0))</f>
        <v>0</v>
      </c>
      <c r="AJ57" s="14">
        <f t="shared" si="9"/>
        <v>20.75</v>
      </c>
      <c r="AK57" s="18">
        <f t="shared" si="10"/>
        <v>20.75</v>
      </c>
      <c r="AL57" s="24">
        <f t="shared" si="5"/>
        <v>-20.75</v>
      </c>
      <c r="AM57" s="24">
        <f t="shared" si="6"/>
        <v>-3463.5</v>
      </c>
      <c r="AP57" t="str">
        <f>住居計算!A64</f>
        <v>マンション</v>
      </c>
      <c r="AQ57">
        <f>IF(AND($C57&gt;=入力!$AC$24,$C57&lt;=入力!$AD$24),入力!$AH$24/2,IF(AND($C57&gt;=入力!$AC$25,$C57&lt;=入力!$AD$25),入力!$AH$25/2,0))</f>
        <v>5</v>
      </c>
      <c r="AR57">
        <f>IF(AND($C57&gt;=入力!$AC$24,$C57&lt;=入力!$AD$24),入力!$AI$24,IF(AND($C57&gt;=入力!$AC$25,$C57&lt;=入力!$AD$25),入力!$AI$25,0))</f>
        <v>3.75</v>
      </c>
      <c r="AS57">
        <f>IF(AND($C57&gt;=入力!$AC$24,$C57&lt;=入力!$AD$24),入力!$AJ$24*12,IF(AND($C57&gt;=入力!$AC$25,$C57&lt;=入力!$AD$25),入力!$AJ$25*12,0))</f>
        <v>12</v>
      </c>
      <c r="AT57">
        <f t="shared" si="11"/>
        <v>20.75</v>
      </c>
      <c r="AU57">
        <f>IF(AND($C57&gt;=入力!$AC$24,$C57&lt;=入力!$AD$24,SUM(入力!$AE$24:$AF$24)&gt;0),車_大物家電!AT57,IF(AND($C57&gt;=入力!$AC$25,$C57&lt;=入力!$AD$25,SUM(入力!$AE$25:$AF$25)&gt;0),車_大物家電!AT57,0))</f>
        <v>20.75</v>
      </c>
    </row>
    <row r="58" spans="1:47" x14ac:dyDescent="0.25">
      <c r="A58">
        <f t="shared" si="12"/>
        <v>49</v>
      </c>
      <c r="B58" s="5">
        <f t="shared" si="15"/>
        <v>71</v>
      </c>
      <c r="C58" s="3">
        <f t="shared" si="15"/>
        <v>76</v>
      </c>
      <c r="D58" s="34"/>
      <c r="E58" s="3"/>
      <c r="F58" s="3"/>
      <c r="G58" s="3"/>
      <c r="H58" s="3"/>
      <c r="I58" s="14"/>
      <c r="J58" s="24">
        <f t="shared" si="0"/>
        <v>0</v>
      </c>
      <c r="K58" s="5"/>
      <c r="L58" s="3"/>
      <c r="M58" s="3"/>
      <c r="N58" s="3"/>
      <c r="O58" s="3"/>
      <c r="P58" s="3"/>
      <c r="Q58" s="3"/>
      <c r="R58" s="3"/>
      <c r="S58" s="14"/>
      <c r="T58" s="18">
        <f t="shared" si="1"/>
        <v>0</v>
      </c>
      <c r="U58" s="24">
        <f t="shared" si="2"/>
        <v>0</v>
      </c>
      <c r="V58" s="5"/>
      <c r="W58" s="3"/>
      <c r="X58" s="3"/>
      <c r="Y58" s="3"/>
      <c r="Z58" s="3"/>
      <c r="AA58" s="3"/>
      <c r="AB58" s="14"/>
      <c r="AC58" s="18">
        <f t="shared" si="3"/>
        <v>0</v>
      </c>
      <c r="AD58" s="24">
        <f t="shared" si="4"/>
        <v>0</v>
      </c>
      <c r="AE58" s="5">
        <f t="shared" si="8"/>
        <v>0</v>
      </c>
      <c r="AF58" s="3"/>
      <c r="AG58" s="3">
        <f>IF(MOD(C58,MAX(入力!$AE$29,1))=入力!$AE$29-1,入力!$AD$29,0)
+IF(MOD(C58,MAX(入力!$AE$30,1))=入力!$AE$30-1,入力!$AD$30,0)
+IF(MOD(C58,MAX(入力!$AE$31,1))=入力!$AE$31-1,入力!$AD$31,0)
+IF(MOD(C58,MAX(入力!$AE$32,1))=入力!$AE$32-1,入力!$AD$32,0)
+IF(MOD(C58,MAX(入力!$AE$33,1))=入力!$AE$33-1,入力!$AD$33,0)
+IF(MOD(C58,MAX(入力!$AE$34,1))=入力!$AE$34-1,入力!$AD$34,0)
+IF(MOD(C58,MAX(入力!$AE$35,1))=入力!$AE$35-1,入力!$AD$35,0)</f>
        <v>0</v>
      </c>
      <c r="AH58" s="3">
        <f>IF(AND($C58&gt;=入力!$AC$24,$C58&lt;=入力!$AD$24,MOD(A58,入力!AG$24)=0),入力!$AL$24,IF(AND($C58&gt;=入力!$AC$25,$C58&lt;=入力!$AD$25,MOD(A58,入力!$AG$25)=0),入力!$AL$25,0))</f>
        <v>250</v>
      </c>
      <c r="AI58" s="3">
        <f>IF(AND($C58&gt;=入力!$AC$24,$C58&lt;=入力!$AD$24),入力!$AF$24/60*12,IF(AND($C58&gt;=入力!$AC$25,$C58&lt;=入力!$AD$25),入力!$AF$25/60*12,0))</f>
        <v>0</v>
      </c>
      <c r="AJ58" s="14">
        <f t="shared" si="9"/>
        <v>20.75</v>
      </c>
      <c r="AK58" s="18">
        <f t="shared" si="10"/>
        <v>270.75</v>
      </c>
      <c r="AL58" s="24">
        <f t="shared" si="5"/>
        <v>-270.75</v>
      </c>
      <c r="AM58" s="24">
        <f t="shared" si="6"/>
        <v>-3734.25</v>
      </c>
      <c r="AP58" t="str">
        <f>住居計算!A65</f>
        <v>マンション</v>
      </c>
      <c r="AQ58">
        <f>IF(AND($C58&gt;=入力!$AC$24,$C58&lt;=入力!$AD$24),入力!$AH$24/2,IF(AND($C58&gt;=入力!$AC$25,$C58&lt;=入力!$AD$25),入力!$AH$25/2,0))</f>
        <v>5</v>
      </c>
      <c r="AR58">
        <f>IF(AND($C58&gt;=入力!$AC$24,$C58&lt;=入力!$AD$24),入力!$AI$24,IF(AND($C58&gt;=入力!$AC$25,$C58&lt;=入力!$AD$25),入力!$AI$25,0))</f>
        <v>3.75</v>
      </c>
      <c r="AS58">
        <f>IF(AND($C58&gt;=入力!$AC$24,$C58&lt;=入力!$AD$24),入力!$AJ$24*12,IF(AND($C58&gt;=入力!$AC$25,$C58&lt;=入力!$AD$25),入力!$AJ$25*12,0))</f>
        <v>12</v>
      </c>
      <c r="AT58">
        <f t="shared" si="11"/>
        <v>20.75</v>
      </c>
      <c r="AU58">
        <f>IF(AND($C58&gt;=入力!$AC$24,$C58&lt;=入力!$AD$24,SUM(入力!$AE$24:$AF$24)&gt;0),車_大物家電!AT58,IF(AND($C58&gt;=入力!$AC$25,$C58&lt;=入力!$AD$25,SUM(入力!$AE$25:$AF$25)&gt;0),車_大物家電!AT58,0))</f>
        <v>20.75</v>
      </c>
    </row>
    <row r="59" spans="1:47" x14ac:dyDescent="0.25">
      <c r="A59">
        <f t="shared" si="12"/>
        <v>50</v>
      </c>
      <c r="B59" s="5">
        <f t="shared" si="15"/>
        <v>72</v>
      </c>
      <c r="C59" s="3">
        <f t="shared" si="15"/>
        <v>77</v>
      </c>
      <c r="D59" s="34"/>
      <c r="E59" s="3"/>
      <c r="F59" s="3"/>
      <c r="G59" s="3"/>
      <c r="H59" s="3"/>
      <c r="I59" s="14"/>
      <c r="J59" s="24">
        <f t="shared" si="0"/>
        <v>0</v>
      </c>
      <c r="K59" s="5"/>
      <c r="L59" s="3"/>
      <c r="M59" s="3"/>
      <c r="N59" s="3"/>
      <c r="O59" s="3"/>
      <c r="P59" s="3"/>
      <c r="Q59" s="3"/>
      <c r="R59" s="3"/>
      <c r="S59" s="14"/>
      <c r="T59" s="18">
        <f t="shared" si="1"/>
        <v>0</v>
      </c>
      <c r="U59" s="24">
        <f t="shared" si="2"/>
        <v>0</v>
      </c>
      <c r="V59" s="5"/>
      <c r="W59" s="3"/>
      <c r="X59" s="3"/>
      <c r="Y59" s="3"/>
      <c r="Z59" s="3"/>
      <c r="AA59" s="3"/>
      <c r="AB59" s="14"/>
      <c r="AC59" s="18">
        <f t="shared" si="3"/>
        <v>0</v>
      </c>
      <c r="AD59" s="24">
        <f t="shared" si="4"/>
        <v>0</v>
      </c>
      <c r="AE59" s="5">
        <f t="shared" si="8"/>
        <v>0</v>
      </c>
      <c r="AF59" s="3"/>
      <c r="AG59" s="3">
        <f>IF(MOD(C59,MAX(入力!$AE$29,1))=入力!$AE$29-1,入力!$AD$29,0)
+IF(MOD(C59,MAX(入力!$AE$30,1))=入力!$AE$30-1,入力!$AD$30,0)
+IF(MOD(C59,MAX(入力!$AE$31,1))=入力!$AE$31-1,入力!$AD$31,0)
+IF(MOD(C59,MAX(入力!$AE$32,1))=入力!$AE$32-1,入力!$AD$32,0)
+IF(MOD(C59,MAX(入力!$AE$33,1))=入力!$AE$33-1,入力!$AD$33,0)
+IF(MOD(C59,MAX(入力!$AE$34,1))=入力!$AE$34-1,入力!$AD$34,0)
+IF(MOD(C59,MAX(入力!$AE$35,1))=入力!$AE$35-1,入力!$AD$35,0)</f>
        <v>0</v>
      </c>
      <c r="AH59" s="3">
        <f>IF(AND($C59&gt;=入力!$AC$24,$C59&lt;=入力!$AD$24,MOD(A59,入力!AG$24)=0),入力!$AL$24,IF(AND($C59&gt;=入力!$AC$25,$C59&lt;=入力!$AD$25,MOD(A59,入力!$AG$25)=0),入力!$AL$25,0))</f>
        <v>0</v>
      </c>
      <c r="AI59" s="3">
        <f>IF(AND($C59&gt;=入力!$AC$24,$C59&lt;=入力!$AD$24),入力!$AF$24/60*12,IF(AND($C59&gt;=入力!$AC$25,$C59&lt;=入力!$AD$25),入力!$AF$25/60*12,0))</f>
        <v>0</v>
      </c>
      <c r="AJ59" s="14">
        <f t="shared" si="9"/>
        <v>20.75</v>
      </c>
      <c r="AK59" s="18">
        <f t="shared" si="10"/>
        <v>20.75</v>
      </c>
      <c r="AL59" s="24">
        <f t="shared" si="5"/>
        <v>-20.75</v>
      </c>
      <c r="AM59" s="24">
        <f t="shared" si="6"/>
        <v>-3755</v>
      </c>
      <c r="AP59" t="str">
        <f>住居計算!A66</f>
        <v>マンション</v>
      </c>
      <c r="AQ59">
        <f>IF(AND($C59&gt;=入力!$AC$24,$C59&lt;=入力!$AD$24),入力!$AH$24/2,IF(AND($C59&gt;=入力!$AC$25,$C59&lt;=入力!$AD$25),入力!$AH$25/2,0))</f>
        <v>5</v>
      </c>
      <c r="AR59">
        <f>IF(AND($C59&gt;=入力!$AC$24,$C59&lt;=入力!$AD$24),入力!$AI$24,IF(AND($C59&gt;=入力!$AC$25,$C59&lt;=入力!$AD$25),入力!$AI$25,0))</f>
        <v>3.75</v>
      </c>
      <c r="AS59">
        <f>IF(AND($C59&gt;=入力!$AC$24,$C59&lt;=入力!$AD$24),入力!$AJ$24*12,IF(AND($C59&gt;=入力!$AC$25,$C59&lt;=入力!$AD$25),入力!$AJ$25*12,0))</f>
        <v>12</v>
      </c>
      <c r="AT59">
        <f t="shared" si="11"/>
        <v>20.75</v>
      </c>
      <c r="AU59">
        <f>IF(AND($C59&gt;=入力!$AC$24,$C59&lt;=入力!$AD$24,SUM(入力!$AE$24:$AF$24)&gt;0),車_大物家電!AT59,IF(AND($C59&gt;=入力!$AC$25,$C59&lt;=入力!$AD$25,SUM(入力!$AE$25:$AF$25)&gt;0),車_大物家電!AT59,0))</f>
        <v>20.75</v>
      </c>
    </row>
    <row r="60" spans="1:47" x14ac:dyDescent="0.25">
      <c r="A60">
        <f t="shared" si="12"/>
        <v>51</v>
      </c>
      <c r="B60" s="5">
        <f t="shared" si="15"/>
        <v>73</v>
      </c>
      <c r="C60" s="3">
        <f t="shared" si="15"/>
        <v>78</v>
      </c>
      <c r="D60" s="34"/>
      <c r="E60" s="3"/>
      <c r="F60" s="3"/>
      <c r="G60" s="3"/>
      <c r="H60" s="3"/>
      <c r="I60" s="14"/>
      <c r="J60" s="24">
        <f t="shared" si="0"/>
        <v>0</v>
      </c>
      <c r="K60" s="5"/>
      <c r="L60" s="3"/>
      <c r="M60" s="3"/>
      <c r="N60" s="3"/>
      <c r="O60" s="3"/>
      <c r="P60" s="3"/>
      <c r="Q60" s="3"/>
      <c r="R60" s="3"/>
      <c r="S60" s="14"/>
      <c r="T60" s="18">
        <f t="shared" si="1"/>
        <v>0</v>
      </c>
      <c r="U60" s="24">
        <f t="shared" si="2"/>
        <v>0</v>
      </c>
      <c r="V60" s="5"/>
      <c r="W60" s="3"/>
      <c r="X60" s="3"/>
      <c r="Y60" s="3"/>
      <c r="Z60" s="3"/>
      <c r="AA60" s="3"/>
      <c r="AB60" s="14"/>
      <c r="AC60" s="18">
        <f t="shared" si="3"/>
        <v>0</v>
      </c>
      <c r="AD60" s="24">
        <f t="shared" si="4"/>
        <v>0</v>
      </c>
      <c r="AE60" s="5">
        <f t="shared" si="8"/>
        <v>0</v>
      </c>
      <c r="AF60" s="3"/>
      <c r="AG60" s="3">
        <f>IF(MOD(C60,MAX(入力!$AE$29,1))=入力!$AE$29-1,入力!$AD$29,0)
+IF(MOD(C60,MAX(入力!$AE$30,1))=入力!$AE$30-1,入力!$AD$30,0)
+IF(MOD(C60,MAX(入力!$AE$31,1))=入力!$AE$31-1,入力!$AD$31,0)
+IF(MOD(C60,MAX(入力!$AE$32,1))=入力!$AE$32-1,入力!$AD$32,0)
+IF(MOD(C60,MAX(入力!$AE$33,1))=入力!$AE$33-1,入力!$AD$33,0)
+IF(MOD(C60,MAX(入力!$AE$34,1))=入力!$AE$34-1,入力!$AD$34,0)
+IF(MOD(C60,MAX(入力!$AE$35,1))=入力!$AE$35-1,入力!$AD$35,0)</f>
        <v>0</v>
      </c>
      <c r="AH60" s="3">
        <f>IF(AND($C60&gt;=入力!$AC$24,$C60&lt;=入力!$AD$24,MOD(A60,入力!AG$24)=0),入力!$AL$24,IF(AND($C60&gt;=入力!$AC$25,$C60&lt;=入力!$AD$25,MOD(A60,入力!$AG$25)=0),入力!$AL$25,0))</f>
        <v>0</v>
      </c>
      <c r="AI60" s="3">
        <f>IF(AND($C60&gt;=入力!$AC$24,$C60&lt;=入力!$AD$24),入力!$AF$24/60*12,IF(AND($C60&gt;=入力!$AC$25,$C60&lt;=入力!$AD$25),入力!$AF$25/60*12,0))</f>
        <v>0</v>
      </c>
      <c r="AJ60" s="14">
        <f t="shared" si="9"/>
        <v>20.75</v>
      </c>
      <c r="AK60" s="18">
        <f t="shared" si="10"/>
        <v>20.75</v>
      </c>
      <c r="AL60" s="24">
        <f t="shared" si="5"/>
        <v>-20.75</v>
      </c>
      <c r="AM60" s="24">
        <f t="shared" si="6"/>
        <v>-3775.75</v>
      </c>
      <c r="AP60" t="str">
        <f>住居計算!A67</f>
        <v>マンション</v>
      </c>
      <c r="AQ60">
        <f>IF(AND($C60&gt;=入力!$AC$24,$C60&lt;=入力!$AD$24),入力!$AH$24/2,IF(AND($C60&gt;=入力!$AC$25,$C60&lt;=入力!$AD$25),入力!$AH$25/2,0))</f>
        <v>5</v>
      </c>
      <c r="AR60">
        <f>IF(AND($C60&gt;=入力!$AC$24,$C60&lt;=入力!$AD$24),入力!$AI$24,IF(AND($C60&gt;=入力!$AC$25,$C60&lt;=入力!$AD$25),入力!$AI$25,0))</f>
        <v>3.75</v>
      </c>
      <c r="AS60">
        <f>IF(AND($C60&gt;=入力!$AC$24,$C60&lt;=入力!$AD$24),入力!$AJ$24*12,IF(AND($C60&gt;=入力!$AC$25,$C60&lt;=入力!$AD$25),入力!$AJ$25*12,0))</f>
        <v>12</v>
      </c>
      <c r="AT60">
        <f t="shared" si="11"/>
        <v>20.75</v>
      </c>
      <c r="AU60">
        <f>IF(AND($C60&gt;=入力!$AC$24,$C60&lt;=入力!$AD$24,SUM(入力!$AE$24:$AF$24)&gt;0),車_大物家電!AT60,IF(AND($C60&gt;=入力!$AC$25,$C60&lt;=入力!$AD$25,SUM(入力!$AE$25:$AF$25)&gt;0),車_大物家電!AT60,0))</f>
        <v>20.75</v>
      </c>
    </row>
    <row r="61" spans="1:47" x14ac:dyDescent="0.25">
      <c r="A61">
        <f t="shared" si="12"/>
        <v>52</v>
      </c>
      <c r="B61" s="5">
        <f t="shared" si="15"/>
        <v>74</v>
      </c>
      <c r="C61" s="3">
        <f t="shared" si="15"/>
        <v>79</v>
      </c>
      <c r="D61" s="34"/>
      <c r="E61" s="3"/>
      <c r="F61" s="3"/>
      <c r="G61" s="3"/>
      <c r="H61" s="3"/>
      <c r="I61" s="14"/>
      <c r="J61" s="24">
        <f t="shared" si="0"/>
        <v>0</v>
      </c>
      <c r="K61" s="5"/>
      <c r="L61" s="3"/>
      <c r="M61" s="3"/>
      <c r="N61" s="3"/>
      <c r="O61" s="3"/>
      <c r="P61" s="3"/>
      <c r="Q61" s="3"/>
      <c r="R61" s="3"/>
      <c r="S61" s="14"/>
      <c r="T61" s="18">
        <f t="shared" si="1"/>
        <v>0</v>
      </c>
      <c r="U61" s="24">
        <f t="shared" si="2"/>
        <v>0</v>
      </c>
      <c r="V61" s="5"/>
      <c r="W61" s="3"/>
      <c r="X61" s="3"/>
      <c r="Y61" s="3"/>
      <c r="Z61" s="3"/>
      <c r="AA61" s="3"/>
      <c r="AB61" s="14"/>
      <c r="AC61" s="18">
        <f t="shared" si="3"/>
        <v>0</v>
      </c>
      <c r="AD61" s="24">
        <f t="shared" si="4"/>
        <v>0</v>
      </c>
      <c r="AE61" s="5">
        <f t="shared" si="8"/>
        <v>0</v>
      </c>
      <c r="AF61" s="3"/>
      <c r="AG61" s="3">
        <f>IF(MOD(C61,MAX(入力!$AE$29,1))=入力!$AE$29-1,入力!$AD$29,0)
+IF(MOD(C61,MAX(入力!$AE$30,1))=入力!$AE$30-1,入力!$AD$30,0)
+IF(MOD(C61,MAX(入力!$AE$31,1))=入力!$AE$31-1,入力!$AD$31,0)
+IF(MOD(C61,MAX(入力!$AE$32,1))=入力!$AE$32-1,入力!$AD$32,0)
+IF(MOD(C61,MAX(入力!$AE$33,1))=入力!$AE$33-1,入力!$AD$33,0)
+IF(MOD(C61,MAX(入力!$AE$34,1))=入力!$AE$34-1,入力!$AD$34,0)
+IF(MOD(C61,MAX(入力!$AE$35,1))=入力!$AE$35-1,入力!$AD$35,0)</f>
        <v>57</v>
      </c>
      <c r="AH61" s="3">
        <f>IF(AND($C61&gt;=入力!$AC$24,$C61&lt;=入力!$AD$24,MOD(A61,入力!AG$24)=0),入力!$AL$24,IF(AND($C61&gt;=入力!$AC$25,$C61&lt;=入力!$AD$25,MOD(A61,入力!$AG$25)=0),入力!$AL$25,0))</f>
        <v>0</v>
      </c>
      <c r="AI61" s="3">
        <f>IF(AND($C61&gt;=入力!$AC$24,$C61&lt;=入力!$AD$24),入力!$AF$24/60*12,IF(AND($C61&gt;=入力!$AC$25,$C61&lt;=入力!$AD$25),入力!$AF$25/60*12,0))</f>
        <v>0</v>
      </c>
      <c r="AJ61" s="14">
        <f t="shared" si="9"/>
        <v>20.75</v>
      </c>
      <c r="AK61" s="18">
        <f t="shared" si="10"/>
        <v>77.75</v>
      </c>
      <c r="AL61" s="24">
        <f t="shared" si="5"/>
        <v>-77.75</v>
      </c>
      <c r="AM61" s="24">
        <f t="shared" si="6"/>
        <v>-3853.5</v>
      </c>
      <c r="AP61" t="str">
        <f>住居計算!A68</f>
        <v>マンション</v>
      </c>
      <c r="AQ61">
        <f>IF(AND($C61&gt;=入力!$AC$24,$C61&lt;=入力!$AD$24),入力!$AH$24/2,IF(AND($C61&gt;=入力!$AC$25,$C61&lt;=入力!$AD$25),入力!$AH$25/2,0))</f>
        <v>5</v>
      </c>
      <c r="AR61">
        <f>IF(AND($C61&gt;=入力!$AC$24,$C61&lt;=入力!$AD$24),入力!$AI$24,IF(AND($C61&gt;=入力!$AC$25,$C61&lt;=入力!$AD$25),入力!$AI$25,0))</f>
        <v>3.75</v>
      </c>
      <c r="AS61">
        <f>IF(AND($C61&gt;=入力!$AC$24,$C61&lt;=入力!$AD$24),入力!$AJ$24*12,IF(AND($C61&gt;=入力!$AC$25,$C61&lt;=入力!$AD$25),入力!$AJ$25*12,0))</f>
        <v>12</v>
      </c>
      <c r="AT61">
        <f t="shared" si="11"/>
        <v>20.75</v>
      </c>
      <c r="AU61">
        <f>IF(AND($C61&gt;=入力!$AC$24,$C61&lt;=入力!$AD$24,SUM(入力!$AE$24:$AF$24)&gt;0),車_大物家電!AT61,IF(AND($C61&gt;=入力!$AC$25,$C61&lt;=入力!$AD$25,SUM(入力!$AE$25:$AF$25)&gt;0),車_大物家電!AT61,0))</f>
        <v>20.75</v>
      </c>
    </row>
    <row r="62" spans="1:47" x14ac:dyDescent="0.25">
      <c r="A62">
        <f t="shared" si="12"/>
        <v>53</v>
      </c>
      <c r="B62" s="5">
        <f t="shared" si="15"/>
        <v>75</v>
      </c>
      <c r="C62" s="3">
        <f t="shared" si="15"/>
        <v>80</v>
      </c>
      <c r="D62" s="34"/>
      <c r="E62" s="3"/>
      <c r="F62" s="3"/>
      <c r="G62" s="3"/>
      <c r="H62" s="3"/>
      <c r="I62" s="14"/>
      <c r="J62" s="24">
        <f t="shared" si="0"/>
        <v>0</v>
      </c>
      <c r="K62" s="5"/>
      <c r="L62" s="3"/>
      <c r="M62" s="3"/>
      <c r="N62" s="3"/>
      <c r="O62" s="3"/>
      <c r="P62" s="3"/>
      <c r="Q62" s="3"/>
      <c r="R62" s="3"/>
      <c r="S62" s="14"/>
      <c r="T62" s="18">
        <f t="shared" si="1"/>
        <v>0</v>
      </c>
      <c r="U62" s="24">
        <f t="shared" si="2"/>
        <v>0</v>
      </c>
      <c r="V62" s="5"/>
      <c r="W62" s="3"/>
      <c r="X62" s="3"/>
      <c r="Y62" s="3"/>
      <c r="Z62" s="3"/>
      <c r="AA62" s="3"/>
      <c r="AB62" s="14"/>
      <c r="AC62" s="18">
        <f t="shared" si="3"/>
        <v>0</v>
      </c>
      <c r="AD62" s="24">
        <f t="shared" si="4"/>
        <v>0</v>
      </c>
      <c r="AE62" s="5">
        <f t="shared" si="8"/>
        <v>0</v>
      </c>
      <c r="AF62" s="3"/>
      <c r="AG62" s="3">
        <f>IF(MOD(C62,MAX(入力!$AE$29,1))=入力!$AE$29-1,入力!$AD$29,0)
+IF(MOD(C62,MAX(入力!$AE$30,1))=入力!$AE$30-1,入力!$AD$30,0)
+IF(MOD(C62,MAX(入力!$AE$31,1))=入力!$AE$31-1,入力!$AD$31,0)
+IF(MOD(C62,MAX(入力!$AE$32,1))=入力!$AE$32-1,入力!$AD$32,0)
+IF(MOD(C62,MAX(入力!$AE$33,1))=入力!$AE$33-1,入力!$AD$33,0)
+IF(MOD(C62,MAX(入力!$AE$34,1))=入力!$AE$34-1,入力!$AD$34,0)
+IF(MOD(C62,MAX(入力!$AE$35,1))=入力!$AE$35-1,入力!$AD$35,0)</f>
        <v>0</v>
      </c>
      <c r="AH62" s="3">
        <f>IF(AND($C62&gt;=入力!$AC$24,$C62&lt;=入力!$AD$24,MOD(A62,入力!AG$24)=0),入力!$AL$24,IF(AND($C62&gt;=入力!$AC$25,$C62&lt;=入力!$AD$25,MOD(A62,入力!$AG$25)=0),入力!$AL$25,0))</f>
        <v>0</v>
      </c>
      <c r="AI62" s="3">
        <f>IF(AND($C62&gt;=入力!$AC$24,$C62&lt;=入力!$AD$24),入力!$AF$24/60*12,IF(AND($C62&gt;=入力!$AC$25,$C62&lt;=入力!$AD$25),入力!$AF$25/60*12,0))</f>
        <v>0</v>
      </c>
      <c r="AJ62" s="14">
        <f t="shared" si="9"/>
        <v>20.75</v>
      </c>
      <c r="AK62" s="18">
        <f t="shared" si="10"/>
        <v>20.75</v>
      </c>
      <c r="AL62" s="24">
        <f t="shared" si="5"/>
        <v>-20.75</v>
      </c>
      <c r="AM62" s="24">
        <f t="shared" si="6"/>
        <v>-3874.25</v>
      </c>
      <c r="AP62" t="str">
        <f>住居計算!A69</f>
        <v>マンション</v>
      </c>
      <c r="AQ62">
        <f>IF(AND($C62&gt;=入力!$AC$24,$C62&lt;=入力!$AD$24),入力!$AH$24/2,IF(AND($C62&gt;=入力!$AC$25,$C62&lt;=入力!$AD$25),入力!$AH$25/2,0))</f>
        <v>5</v>
      </c>
      <c r="AR62">
        <f>IF(AND($C62&gt;=入力!$AC$24,$C62&lt;=入力!$AD$24),入力!$AI$24,IF(AND($C62&gt;=入力!$AC$25,$C62&lt;=入力!$AD$25),入力!$AI$25,0))</f>
        <v>3.75</v>
      </c>
      <c r="AS62">
        <f>IF(AND($C62&gt;=入力!$AC$24,$C62&lt;=入力!$AD$24),入力!$AJ$24*12,IF(AND($C62&gt;=入力!$AC$25,$C62&lt;=入力!$AD$25),入力!$AJ$25*12,0))</f>
        <v>12</v>
      </c>
      <c r="AT62">
        <f t="shared" si="11"/>
        <v>20.75</v>
      </c>
      <c r="AU62">
        <f>IF(AND($C62&gt;=入力!$AC$24,$C62&lt;=入力!$AD$24,SUM(入力!$AE$24:$AF$24)&gt;0),車_大物家電!AT62,IF(AND($C62&gt;=入力!$AC$25,$C62&lt;=入力!$AD$25,SUM(入力!$AE$25:$AF$25)&gt;0),車_大物家電!AT62,0))</f>
        <v>20.75</v>
      </c>
    </row>
    <row r="63" spans="1:47" x14ac:dyDescent="0.25">
      <c r="A63">
        <f t="shared" si="12"/>
        <v>54</v>
      </c>
      <c r="B63" s="5">
        <f t="shared" si="15"/>
        <v>76</v>
      </c>
      <c r="C63" s="3">
        <f t="shared" si="15"/>
        <v>81</v>
      </c>
      <c r="D63" s="34"/>
      <c r="E63" s="3"/>
      <c r="F63" s="3"/>
      <c r="G63" s="3"/>
      <c r="H63" s="3"/>
      <c r="I63" s="14"/>
      <c r="J63" s="24">
        <f t="shared" si="0"/>
        <v>0</v>
      </c>
      <c r="K63" s="5"/>
      <c r="L63" s="3"/>
      <c r="M63" s="3"/>
      <c r="N63" s="3"/>
      <c r="O63" s="3"/>
      <c r="P63" s="3"/>
      <c r="Q63" s="3"/>
      <c r="R63" s="3"/>
      <c r="S63" s="14"/>
      <c r="T63" s="18">
        <f t="shared" si="1"/>
        <v>0</v>
      </c>
      <c r="U63" s="24">
        <f t="shared" si="2"/>
        <v>0</v>
      </c>
      <c r="V63" s="5"/>
      <c r="W63" s="3"/>
      <c r="X63" s="3"/>
      <c r="Y63" s="3"/>
      <c r="Z63" s="3"/>
      <c r="AA63" s="3"/>
      <c r="AB63" s="14"/>
      <c r="AC63" s="18">
        <f t="shared" si="3"/>
        <v>0</v>
      </c>
      <c r="AD63" s="24">
        <f t="shared" si="4"/>
        <v>0</v>
      </c>
      <c r="AE63" s="5">
        <f t="shared" si="8"/>
        <v>0</v>
      </c>
      <c r="AF63" s="3"/>
      <c r="AG63" s="3">
        <f>IF(MOD(C63,MAX(入力!$AE$29,1))=入力!$AE$29-1,入力!$AD$29,0)
+IF(MOD(C63,MAX(入力!$AE$30,1))=入力!$AE$30-1,入力!$AD$30,0)
+IF(MOD(C63,MAX(入力!$AE$31,1))=入力!$AE$31-1,入力!$AD$31,0)
+IF(MOD(C63,MAX(入力!$AE$32,1))=入力!$AE$32-1,入力!$AD$32,0)
+IF(MOD(C63,MAX(入力!$AE$33,1))=入力!$AE$33-1,入力!$AD$33,0)
+IF(MOD(C63,MAX(入力!$AE$34,1))=入力!$AE$34-1,入力!$AD$34,0)
+IF(MOD(C63,MAX(入力!$AE$35,1))=入力!$AE$35-1,入力!$AD$35,0)</f>
        <v>0</v>
      </c>
      <c r="AH63" s="3">
        <f>IF(AND($C63&gt;=入力!$AC$24,$C63&lt;=入力!$AD$24,MOD(A63,入力!AG$24)=0),入力!$AL$24,IF(AND($C63&gt;=入力!$AC$25,$C63&lt;=入力!$AD$25,MOD(A63,入力!$AG$25)=0),入力!$AL$25,0))</f>
        <v>0</v>
      </c>
      <c r="AI63" s="3">
        <f>IF(AND($C63&gt;=入力!$AC$24,$C63&lt;=入力!$AD$24),入力!$AF$24/60*12,IF(AND($C63&gt;=入力!$AC$25,$C63&lt;=入力!$AD$25),入力!$AF$25/60*12,0))</f>
        <v>0</v>
      </c>
      <c r="AJ63" s="14">
        <f t="shared" si="9"/>
        <v>20.75</v>
      </c>
      <c r="AK63" s="18">
        <f t="shared" si="10"/>
        <v>20.75</v>
      </c>
      <c r="AL63" s="24">
        <f t="shared" si="5"/>
        <v>-20.75</v>
      </c>
      <c r="AM63" s="24">
        <f t="shared" si="6"/>
        <v>-3895</v>
      </c>
      <c r="AP63" t="str">
        <f>住居計算!A70</f>
        <v>マンション</v>
      </c>
      <c r="AQ63">
        <f>IF(AND($C63&gt;=入力!$AC$24,$C63&lt;=入力!$AD$24),入力!$AH$24/2,IF(AND($C63&gt;=入力!$AC$25,$C63&lt;=入力!$AD$25),入力!$AH$25/2,0))</f>
        <v>5</v>
      </c>
      <c r="AR63">
        <f>IF(AND($C63&gt;=入力!$AC$24,$C63&lt;=入力!$AD$24),入力!$AI$24,IF(AND($C63&gt;=入力!$AC$25,$C63&lt;=入力!$AD$25),入力!$AI$25,0))</f>
        <v>3.75</v>
      </c>
      <c r="AS63">
        <f>IF(AND($C63&gt;=入力!$AC$24,$C63&lt;=入力!$AD$24),入力!$AJ$24*12,IF(AND($C63&gt;=入力!$AC$25,$C63&lt;=入力!$AD$25),入力!$AJ$25*12,0))</f>
        <v>12</v>
      </c>
      <c r="AT63">
        <f t="shared" si="11"/>
        <v>20.75</v>
      </c>
      <c r="AU63">
        <f>IF(AND($C63&gt;=入力!$AC$24,$C63&lt;=入力!$AD$24,SUM(入力!$AE$24:$AF$24)&gt;0),車_大物家電!AT63,IF(AND($C63&gt;=入力!$AC$25,$C63&lt;=入力!$AD$25,SUM(入力!$AE$25:$AF$25)&gt;0),車_大物家電!AT63,0))</f>
        <v>20.75</v>
      </c>
    </row>
    <row r="64" spans="1:47" x14ac:dyDescent="0.25">
      <c r="A64">
        <f t="shared" si="12"/>
        <v>55</v>
      </c>
      <c r="B64" s="5">
        <f t="shared" si="15"/>
        <v>77</v>
      </c>
      <c r="C64" s="3">
        <f t="shared" si="15"/>
        <v>82</v>
      </c>
      <c r="D64" s="34"/>
      <c r="E64" s="3"/>
      <c r="F64" s="3"/>
      <c r="G64" s="3"/>
      <c r="H64" s="3"/>
      <c r="I64" s="14"/>
      <c r="J64" s="24">
        <f t="shared" si="0"/>
        <v>0</v>
      </c>
      <c r="K64" s="5"/>
      <c r="L64" s="3"/>
      <c r="M64" s="3"/>
      <c r="N64" s="3"/>
      <c r="O64" s="3"/>
      <c r="P64" s="3"/>
      <c r="Q64" s="3"/>
      <c r="R64" s="3"/>
      <c r="S64" s="14"/>
      <c r="T64" s="18">
        <f t="shared" si="1"/>
        <v>0</v>
      </c>
      <c r="U64" s="24">
        <f t="shared" si="2"/>
        <v>0</v>
      </c>
      <c r="V64" s="5"/>
      <c r="W64" s="3"/>
      <c r="X64" s="3"/>
      <c r="Y64" s="3"/>
      <c r="Z64" s="3"/>
      <c r="AA64" s="3"/>
      <c r="AB64" s="14"/>
      <c r="AC64" s="18">
        <f t="shared" si="3"/>
        <v>0</v>
      </c>
      <c r="AD64" s="24">
        <f t="shared" si="4"/>
        <v>0</v>
      </c>
      <c r="AE64" s="5">
        <f t="shared" si="8"/>
        <v>0</v>
      </c>
      <c r="AF64" s="3"/>
      <c r="AG64" s="3">
        <f>IF(MOD(C64,MAX(入力!$AE$29,1))=入力!$AE$29-1,入力!$AD$29,0)
+IF(MOD(C64,MAX(入力!$AE$30,1))=入力!$AE$30-1,入力!$AD$30,0)
+IF(MOD(C64,MAX(入力!$AE$31,1))=入力!$AE$31-1,入力!$AD$31,0)
+IF(MOD(C64,MAX(入力!$AE$32,1))=入力!$AE$32-1,入力!$AD$32,0)
+IF(MOD(C64,MAX(入力!$AE$33,1))=入力!$AE$33-1,入力!$AD$33,0)
+IF(MOD(C64,MAX(入力!$AE$34,1))=入力!$AE$34-1,入力!$AD$34,0)
+IF(MOD(C64,MAX(入力!$AE$35,1))=入力!$AE$35-1,入力!$AD$35,0)</f>
        <v>0</v>
      </c>
      <c r="AH64" s="3">
        <f>IF(AND($C64&gt;=入力!$AC$24,$C64&lt;=入力!$AD$24,MOD(A64,入力!AG$24)=0),入力!$AL$24,IF(AND($C64&gt;=入力!$AC$25,$C64&lt;=入力!$AD$25,MOD(A64,入力!$AG$25)=0),入力!$AL$25,0))</f>
        <v>0</v>
      </c>
      <c r="AI64" s="3">
        <f>IF(AND($C64&gt;=入力!$AC$24,$C64&lt;=入力!$AD$24),入力!$AF$24/60*12,IF(AND($C64&gt;=入力!$AC$25,$C64&lt;=入力!$AD$25),入力!$AF$25/60*12,0))</f>
        <v>0</v>
      </c>
      <c r="AJ64" s="14">
        <f t="shared" si="9"/>
        <v>20.75</v>
      </c>
      <c r="AK64" s="18">
        <f t="shared" si="10"/>
        <v>20.75</v>
      </c>
      <c r="AL64" s="24">
        <f t="shared" si="5"/>
        <v>-20.75</v>
      </c>
      <c r="AM64" s="24">
        <f t="shared" si="6"/>
        <v>-3915.75</v>
      </c>
      <c r="AP64" t="str">
        <f>住居計算!A71</f>
        <v>マンション</v>
      </c>
      <c r="AQ64">
        <f>IF(AND($C64&gt;=入力!$AC$24,$C64&lt;=入力!$AD$24),入力!$AH$24/2,IF(AND($C64&gt;=入力!$AC$25,$C64&lt;=入力!$AD$25),入力!$AH$25/2,0))</f>
        <v>5</v>
      </c>
      <c r="AR64">
        <f>IF(AND($C64&gt;=入力!$AC$24,$C64&lt;=入力!$AD$24),入力!$AI$24,IF(AND($C64&gt;=入力!$AC$25,$C64&lt;=入力!$AD$25),入力!$AI$25,0))</f>
        <v>3.75</v>
      </c>
      <c r="AS64">
        <f>IF(AND($C64&gt;=入力!$AC$24,$C64&lt;=入力!$AD$24),入力!$AJ$24*12,IF(AND($C64&gt;=入力!$AC$25,$C64&lt;=入力!$AD$25),入力!$AJ$25*12,0))</f>
        <v>12</v>
      </c>
      <c r="AT64">
        <f t="shared" si="11"/>
        <v>20.75</v>
      </c>
      <c r="AU64">
        <f>IF(AND($C64&gt;=入力!$AC$24,$C64&lt;=入力!$AD$24,SUM(入力!$AE$24:$AF$24)&gt;0),車_大物家電!AT64,IF(AND($C64&gt;=入力!$AC$25,$C64&lt;=入力!$AD$25,SUM(入力!$AE$25:$AF$25)&gt;0),車_大物家電!AT64,0))</f>
        <v>20.75</v>
      </c>
    </row>
    <row r="65" spans="1:47" x14ac:dyDescent="0.25">
      <c r="A65">
        <f t="shared" si="12"/>
        <v>56</v>
      </c>
      <c r="B65" s="5">
        <f t="shared" si="15"/>
        <v>78</v>
      </c>
      <c r="C65" s="3">
        <f t="shared" si="15"/>
        <v>83</v>
      </c>
      <c r="D65" s="34"/>
      <c r="E65" s="3"/>
      <c r="F65" s="3"/>
      <c r="G65" s="3"/>
      <c r="H65" s="3"/>
      <c r="I65" s="14"/>
      <c r="J65" s="24">
        <f t="shared" si="0"/>
        <v>0</v>
      </c>
      <c r="K65" s="5"/>
      <c r="L65" s="3"/>
      <c r="M65" s="3"/>
      <c r="N65" s="3"/>
      <c r="O65" s="3"/>
      <c r="P65" s="3"/>
      <c r="Q65" s="3"/>
      <c r="R65" s="3"/>
      <c r="S65" s="14"/>
      <c r="T65" s="18">
        <f t="shared" si="1"/>
        <v>0</v>
      </c>
      <c r="U65" s="24">
        <f t="shared" si="2"/>
        <v>0</v>
      </c>
      <c r="V65" s="5"/>
      <c r="W65" s="3"/>
      <c r="X65" s="3"/>
      <c r="Y65" s="3"/>
      <c r="Z65" s="3"/>
      <c r="AA65" s="3"/>
      <c r="AB65" s="14"/>
      <c r="AC65" s="18">
        <f t="shared" si="3"/>
        <v>0</v>
      </c>
      <c r="AD65" s="24">
        <f t="shared" si="4"/>
        <v>0</v>
      </c>
      <c r="AE65" s="5">
        <f t="shared" si="8"/>
        <v>0</v>
      </c>
      <c r="AF65" s="3"/>
      <c r="AG65" s="3">
        <f>IF(MOD(C65,MAX(入力!$AE$29,1))=入力!$AE$29-1,入力!$AD$29,0)
+IF(MOD(C65,MAX(入力!$AE$30,1))=入力!$AE$30-1,入力!$AD$30,0)
+IF(MOD(C65,MAX(入力!$AE$31,1))=入力!$AE$31-1,入力!$AD$31,0)
+IF(MOD(C65,MAX(入力!$AE$32,1))=入力!$AE$32-1,入力!$AD$32,0)
+IF(MOD(C65,MAX(入力!$AE$33,1))=入力!$AE$33-1,入力!$AD$33,0)
+IF(MOD(C65,MAX(入力!$AE$34,1))=入力!$AE$34-1,入力!$AD$34,0)
+IF(MOD(C65,MAX(入力!$AE$35,1))=入力!$AE$35-1,入力!$AD$35,0)</f>
        <v>0</v>
      </c>
      <c r="AH65" s="3">
        <f>IF(AND($C65&gt;=入力!$AC$24,$C65&lt;=入力!$AD$24,MOD(A65,入力!AG$24)=0),入力!$AL$24,IF(AND($C65&gt;=入力!$AC$25,$C65&lt;=入力!$AD$25,MOD(A65,入力!$AG$25)=0),入力!$AL$25,0))</f>
        <v>250</v>
      </c>
      <c r="AI65" s="3">
        <f>IF(AND($C65&gt;=入力!$AC$24,$C65&lt;=入力!$AD$24),入力!$AF$24/60*12,IF(AND($C65&gt;=入力!$AC$25,$C65&lt;=入力!$AD$25),入力!$AF$25/60*12,0))</f>
        <v>0</v>
      </c>
      <c r="AJ65" s="14">
        <f t="shared" si="9"/>
        <v>20.75</v>
      </c>
      <c r="AK65" s="18">
        <f t="shared" si="10"/>
        <v>270.75</v>
      </c>
      <c r="AL65" s="24">
        <f t="shared" si="5"/>
        <v>-270.75</v>
      </c>
      <c r="AM65" s="24">
        <f t="shared" si="6"/>
        <v>-4186.5</v>
      </c>
      <c r="AP65" t="str">
        <f>住居計算!A72</f>
        <v>マンション</v>
      </c>
      <c r="AQ65">
        <f>IF(AND($C65&gt;=入力!$AC$24,$C65&lt;=入力!$AD$24),入力!$AH$24/2,IF(AND($C65&gt;=入力!$AC$25,$C65&lt;=入力!$AD$25),入力!$AH$25/2,0))</f>
        <v>5</v>
      </c>
      <c r="AR65">
        <f>IF(AND($C65&gt;=入力!$AC$24,$C65&lt;=入力!$AD$24),入力!$AI$24,IF(AND($C65&gt;=入力!$AC$25,$C65&lt;=入力!$AD$25),入力!$AI$25,0))</f>
        <v>3.75</v>
      </c>
      <c r="AS65">
        <f>IF(AND($C65&gt;=入力!$AC$24,$C65&lt;=入力!$AD$24),入力!$AJ$24*12,IF(AND($C65&gt;=入力!$AC$25,$C65&lt;=入力!$AD$25),入力!$AJ$25*12,0))</f>
        <v>12</v>
      </c>
      <c r="AT65">
        <f t="shared" si="11"/>
        <v>20.75</v>
      </c>
      <c r="AU65">
        <f>IF(AND($C65&gt;=入力!$AC$24,$C65&lt;=入力!$AD$24,SUM(入力!$AE$24:$AF$24)&gt;0),車_大物家電!AT65,IF(AND($C65&gt;=入力!$AC$25,$C65&lt;=入力!$AD$25,SUM(入力!$AE$25:$AF$25)&gt;0),車_大物家電!AT65,0))</f>
        <v>20.75</v>
      </c>
    </row>
    <row r="66" spans="1:47" x14ac:dyDescent="0.25">
      <c r="A66">
        <f t="shared" si="12"/>
        <v>57</v>
      </c>
      <c r="B66" s="5">
        <f t="shared" si="15"/>
        <v>79</v>
      </c>
      <c r="C66" s="3">
        <f t="shared" si="15"/>
        <v>84</v>
      </c>
      <c r="D66" s="34"/>
      <c r="E66" s="3"/>
      <c r="F66" s="3"/>
      <c r="G66" s="3"/>
      <c r="H66" s="3"/>
      <c r="I66" s="14"/>
      <c r="J66" s="24">
        <f t="shared" si="0"/>
        <v>0</v>
      </c>
      <c r="K66" s="5"/>
      <c r="L66" s="3"/>
      <c r="M66" s="3"/>
      <c r="N66" s="3"/>
      <c r="O66" s="3"/>
      <c r="P66" s="3"/>
      <c r="Q66" s="3"/>
      <c r="R66" s="3"/>
      <c r="S66" s="14"/>
      <c r="T66" s="18">
        <f t="shared" si="1"/>
        <v>0</v>
      </c>
      <c r="U66" s="24">
        <f t="shared" si="2"/>
        <v>0</v>
      </c>
      <c r="V66" s="5"/>
      <c r="W66" s="3"/>
      <c r="X66" s="3"/>
      <c r="Y66" s="3"/>
      <c r="Z66" s="3"/>
      <c r="AA66" s="3"/>
      <c r="AB66" s="14"/>
      <c r="AC66" s="18">
        <f t="shared" si="3"/>
        <v>0</v>
      </c>
      <c r="AD66" s="24">
        <f t="shared" si="4"/>
        <v>0</v>
      </c>
      <c r="AE66" s="5">
        <f t="shared" si="8"/>
        <v>0</v>
      </c>
      <c r="AF66" s="3"/>
      <c r="AG66" s="3">
        <f>IF(MOD(C66,MAX(入力!$AE$29,1))=入力!$AE$29-1,入力!$AD$29,0)
+IF(MOD(C66,MAX(入力!$AE$30,1))=入力!$AE$30-1,入力!$AD$30,0)
+IF(MOD(C66,MAX(入力!$AE$31,1))=入力!$AE$31-1,入力!$AD$31,0)
+IF(MOD(C66,MAX(入力!$AE$32,1))=入力!$AE$32-1,入力!$AD$32,0)
+IF(MOD(C66,MAX(入力!$AE$33,1))=入力!$AE$33-1,入力!$AD$33,0)
+IF(MOD(C66,MAX(入力!$AE$34,1))=入力!$AE$34-1,入力!$AD$34,0)
+IF(MOD(C66,MAX(入力!$AE$35,1))=入力!$AE$35-1,入力!$AD$35,0)</f>
        <v>3</v>
      </c>
      <c r="AH66" s="3">
        <f>IF(AND($C66&gt;=入力!$AC$24,$C66&lt;=入力!$AD$24,MOD(A66,入力!AG$24)=0),入力!$AL$24,IF(AND($C66&gt;=入力!$AC$25,$C66&lt;=入力!$AD$25,MOD(A66,入力!$AG$25)=0),入力!$AL$25,0))</f>
        <v>0</v>
      </c>
      <c r="AI66" s="3">
        <f>IF(AND($C66&gt;=入力!$AC$24,$C66&lt;=入力!$AD$24),入力!$AF$24/60*12,IF(AND($C66&gt;=入力!$AC$25,$C66&lt;=入力!$AD$25),入力!$AF$25/60*12,0))</f>
        <v>0</v>
      </c>
      <c r="AJ66" s="14">
        <f t="shared" si="9"/>
        <v>20.75</v>
      </c>
      <c r="AK66" s="18">
        <f t="shared" si="10"/>
        <v>23.75</v>
      </c>
      <c r="AL66" s="24">
        <f t="shared" si="5"/>
        <v>-23.75</v>
      </c>
      <c r="AM66" s="24">
        <f t="shared" si="6"/>
        <v>-4210.25</v>
      </c>
      <c r="AP66" t="str">
        <f>住居計算!A73</f>
        <v>マンション</v>
      </c>
      <c r="AQ66">
        <f>IF(AND($C66&gt;=入力!$AC$24,$C66&lt;=入力!$AD$24),入力!$AH$24/2,IF(AND($C66&gt;=入力!$AC$25,$C66&lt;=入力!$AD$25),入力!$AH$25/2,0))</f>
        <v>5</v>
      </c>
      <c r="AR66">
        <f>IF(AND($C66&gt;=入力!$AC$24,$C66&lt;=入力!$AD$24),入力!$AI$24,IF(AND($C66&gt;=入力!$AC$25,$C66&lt;=入力!$AD$25),入力!$AI$25,0))</f>
        <v>3.75</v>
      </c>
      <c r="AS66">
        <f>IF(AND($C66&gt;=入力!$AC$24,$C66&lt;=入力!$AD$24),入力!$AJ$24*12,IF(AND($C66&gt;=入力!$AC$25,$C66&lt;=入力!$AD$25),入力!$AJ$25*12,0))</f>
        <v>12</v>
      </c>
      <c r="AT66">
        <f t="shared" si="11"/>
        <v>20.75</v>
      </c>
      <c r="AU66">
        <f>IF(AND($C66&gt;=入力!$AC$24,$C66&lt;=入力!$AD$24,SUM(入力!$AE$24:$AF$24)&gt;0),車_大物家電!AT66,IF(AND($C66&gt;=入力!$AC$25,$C66&lt;=入力!$AD$25,SUM(入力!$AE$25:$AF$25)&gt;0),車_大物家電!AT66,0))</f>
        <v>20.75</v>
      </c>
    </row>
    <row r="67" spans="1:47" x14ac:dyDescent="0.25">
      <c r="A67">
        <f t="shared" si="12"/>
        <v>58</v>
      </c>
      <c r="B67" s="5">
        <f t="shared" si="15"/>
        <v>80</v>
      </c>
      <c r="C67" s="3">
        <f t="shared" si="15"/>
        <v>85</v>
      </c>
      <c r="D67" s="34"/>
      <c r="E67" s="3"/>
      <c r="F67" s="3"/>
      <c r="G67" s="3"/>
      <c r="H67" s="3"/>
      <c r="I67" s="14"/>
      <c r="J67" s="24">
        <f t="shared" si="0"/>
        <v>0</v>
      </c>
      <c r="K67" s="5"/>
      <c r="L67" s="3"/>
      <c r="M67" s="3"/>
      <c r="N67" s="3"/>
      <c r="O67" s="3"/>
      <c r="P67" s="3"/>
      <c r="Q67" s="3"/>
      <c r="R67" s="3"/>
      <c r="S67" s="14"/>
      <c r="T67" s="18">
        <f t="shared" si="1"/>
        <v>0</v>
      </c>
      <c r="U67" s="24">
        <f t="shared" si="2"/>
        <v>0</v>
      </c>
      <c r="V67" s="5"/>
      <c r="W67" s="3"/>
      <c r="X67" s="3"/>
      <c r="Y67" s="3"/>
      <c r="Z67" s="3"/>
      <c r="AA67" s="3"/>
      <c r="AB67" s="14"/>
      <c r="AC67" s="18">
        <f t="shared" si="3"/>
        <v>0</v>
      </c>
      <c r="AD67" s="24">
        <f t="shared" si="4"/>
        <v>0</v>
      </c>
      <c r="AE67" s="5">
        <f t="shared" si="8"/>
        <v>0</v>
      </c>
      <c r="AF67" s="3"/>
      <c r="AG67" s="3">
        <f>IF(MOD(C67,MAX(入力!$AE$29,1))=入力!$AE$29-1,入力!$AD$29,0)
+IF(MOD(C67,MAX(入力!$AE$30,1))=入力!$AE$30-1,入力!$AD$30,0)
+IF(MOD(C67,MAX(入力!$AE$31,1))=入力!$AE$31-1,入力!$AD$31,0)
+IF(MOD(C67,MAX(入力!$AE$32,1))=入力!$AE$32-1,入力!$AD$32,0)
+IF(MOD(C67,MAX(入力!$AE$33,1))=入力!$AE$33-1,入力!$AD$33,0)
+IF(MOD(C67,MAX(入力!$AE$34,1))=入力!$AE$34-1,入力!$AD$34,0)
+IF(MOD(C67,MAX(入力!$AE$35,1))=入力!$AE$35-1,入力!$AD$35,0)</f>
        <v>0</v>
      </c>
      <c r="AH67" s="3">
        <f>IF(AND($C67&gt;=入力!$AC$24,$C67&lt;=入力!$AD$24,MOD(A67,入力!AG$24)=0),入力!$AL$24,IF(AND($C67&gt;=入力!$AC$25,$C67&lt;=入力!$AD$25,MOD(A67,入力!$AG$25)=0),入力!$AL$25,0))</f>
        <v>0</v>
      </c>
      <c r="AI67" s="3">
        <f>IF(AND($C67&gt;=入力!$AC$24,$C67&lt;=入力!$AD$24),入力!$AF$24/60*12,IF(AND($C67&gt;=入力!$AC$25,$C67&lt;=入力!$AD$25),入力!$AF$25/60*12,0))</f>
        <v>0</v>
      </c>
      <c r="AJ67" s="14">
        <f t="shared" si="9"/>
        <v>20.75</v>
      </c>
      <c r="AK67" s="18">
        <f t="shared" si="10"/>
        <v>20.75</v>
      </c>
      <c r="AL67" s="24">
        <f t="shared" si="5"/>
        <v>-20.75</v>
      </c>
      <c r="AM67" s="24">
        <f t="shared" si="6"/>
        <v>-4231</v>
      </c>
      <c r="AP67" t="str">
        <f>住居計算!A74</f>
        <v>マンション</v>
      </c>
      <c r="AQ67">
        <f>IF(AND($C67&gt;=入力!$AC$24,$C67&lt;=入力!$AD$24),入力!$AH$24/2,IF(AND($C67&gt;=入力!$AC$25,$C67&lt;=入力!$AD$25),入力!$AH$25/2,0))</f>
        <v>5</v>
      </c>
      <c r="AR67">
        <f>IF(AND($C67&gt;=入力!$AC$24,$C67&lt;=入力!$AD$24),入力!$AI$24,IF(AND($C67&gt;=入力!$AC$25,$C67&lt;=入力!$AD$25),入力!$AI$25,0))</f>
        <v>3.75</v>
      </c>
      <c r="AS67">
        <f>IF(AND($C67&gt;=入力!$AC$24,$C67&lt;=入力!$AD$24),入力!$AJ$24*12,IF(AND($C67&gt;=入力!$AC$25,$C67&lt;=入力!$AD$25),入力!$AJ$25*12,0))</f>
        <v>12</v>
      </c>
      <c r="AT67">
        <f t="shared" si="11"/>
        <v>20.75</v>
      </c>
      <c r="AU67">
        <f>IF(AND($C67&gt;=入力!$AC$24,$C67&lt;=入力!$AD$24,SUM(入力!$AE$24:$AF$24)&gt;0),車_大物家電!AT67,IF(AND($C67&gt;=入力!$AC$25,$C67&lt;=入力!$AD$25,SUM(入力!$AE$25:$AF$25)&gt;0),車_大物家電!AT67,0))</f>
        <v>20.75</v>
      </c>
    </row>
    <row r="68" spans="1:47" x14ac:dyDescent="0.25">
      <c r="A68">
        <f t="shared" si="12"/>
        <v>59</v>
      </c>
      <c r="B68" s="5">
        <f t="shared" si="15"/>
        <v>81</v>
      </c>
      <c r="C68" s="3">
        <f t="shared" si="15"/>
        <v>86</v>
      </c>
      <c r="D68" s="34"/>
      <c r="E68" s="3"/>
      <c r="F68" s="3"/>
      <c r="G68" s="3"/>
      <c r="H68" s="3"/>
      <c r="I68" s="14"/>
      <c r="J68" s="24">
        <f t="shared" si="0"/>
        <v>0</v>
      </c>
      <c r="K68" s="5"/>
      <c r="L68" s="3"/>
      <c r="M68" s="3"/>
      <c r="N68" s="3"/>
      <c r="O68" s="3"/>
      <c r="P68" s="3"/>
      <c r="Q68" s="3"/>
      <c r="R68" s="3"/>
      <c r="S68" s="14"/>
      <c r="T68" s="18">
        <f t="shared" si="1"/>
        <v>0</v>
      </c>
      <c r="U68" s="24">
        <f t="shared" si="2"/>
        <v>0</v>
      </c>
      <c r="V68" s="5"/>
      <c r="W68" s="3"/>
      <c r="X68" s="3"/>
      <c r="Y68" s="3"/>
      <c r="Z68" s="3"/>
      <c r="AA68" s="3"/>
      <c r="AB68" s="14"/>
      <c r="AC68" s="18">
        <f t="shared" si="3"/>
        <v>0</v>
      </c>
      <c r="AD68" s="24">
        <f t="shared" si="4"/>
        <v>0</v>
      </c>
      <c r="AE68" s="5">
        <f t="shared" si="8"/>
        <v>0</v>
      </c>
      <c r="AF68" s="3"/>
      <c r="AG68" s="3">
        <f>IF(MOD(C68,MAX(入力!$AE$29,1))=入力!$AE$29-1,入力!$AD$29,0)
+IF(MOD(C68,MAX(入力!$AE$30,1))=入力!$AE$30-1,入力!$AD$30,0)
+IF(MOD(C68,MAX(入力!$AE$31,1))=入力!$AE$31-1,入力!$AD$31,0)
+IF(MOD(C68,MAX(入力!$AE$32,1))=入力!$AE$32-1,入力!$AD$32,0)
+IF(MOD(C68,MAX(入力!$AE$33,1))=入力!$AE$33-1,入力!$AD$33,0)
+IF(MOD(C68,MAX(入力!$AE$34,1))=入力!$AE$34-1,入力!$AD$34,0)
+IF(MOD(C68,MAX(入力!$AE$35,1))=入力!$AE$35-1,入力!$AD$35,0)</f>
        <v>0</v>
      </c>
      <c r="AH68" s="3">
        <f>IF(AND($C68&gt;=入力!$AC$24,$C68&lt;=入力!$AD$24,MOD(A68,入力!AG$24)=0),入力!$AL$24,IF(AND($C68&gt;=入力!$AC$25,$C68&lt;=入力!$AD$25,MOD(A68,入力!$AG$25)=0),入力!$AL$25,0))</f>
        <v>0</v>
      </c>
      <c r="AI68" s="3">
        <f>IF(AND($C68&gt;=入力!$AC$24,$C68&lt;=入力!$AD$24),入力!$AF$24/60*12,IF(AND($C68&gt;=入力!$AC$25,$C68&lt;=入力!$AD$25),入力!$AF$25/60*12,0))</f>
        <v>0</v>
      </c>
      <c r="AJ68" s="14">
        <f t="shared" si="9"/>
        <v>20.75</v>
      </c>
      <c r="AK68" s="18">
        <f t="shared" si="10"/>
        <v>20.75</v>
      </c>
      <c r="AL68" s="24">
        <f t="shared" si="5"/>
        <v>-20.75</v>
      </c>
      <c r="AM68" s="24">
        <f t="shared" si="6"/>
        <v>-4251.75</v>
      </c>
      <c r="AP68" t="str">
        <f>住居計算!A75</f>
        <v>マンション</v>
      </c>
      <c r="AQ68">
        <f>IF(AND($C68&gt;=入力!$AC$24,$C68&lt;=入力!$AD$24),入力!$AH$24/2,IF(AND($C68&gt;=入力!$AC$25,$C68&lt;=入力!$AD$25),入力!$AH$25/2,0))</f>
        <v>5</v>
      </c>
      <c r="AR68">
        <f>IF(AND($C68&gt;=入力!$AC$24,$C68&lt;=入力!$AD$24),入力!$AI$24,IF(AND($C68&gt;=入力!$AC$25,$C68&lt;=入力!$AD$25),入力!$AI$25,0))</f>
        <v>3.75</v>
      </c>
      <c r="AS68">
        <f>IF(AND($C68&gt;=入力!$AC$24,$C68&lt;=入力!$AD$24),入力!$AJ$24*12,IF(AND($C68&gt;=入力!$AC$25,$C68&lt;=入力!$AD$25),入力!$AJ$25*12,0))</f>
        <v>12</v>
      </c>
      <c r="AT68">
        <f t="shared" si="11"/>
        <v>20.75</v>
      </c>
      <c r="AU68">
        <f>IF(AND($C68&gt;=入力!$AC$24,$C68&lt;=入力!$AD$24,SUM(入力!$AE$24:$AF$24)&gt;0),車_大物家電!AT68,IF(AND($C68&gt;=入力!$AC$25,$C68&lt;=入力!$AD$25,SUM(入力!$AE$25:$AF$25)&gt;0),車_大物家電!AT68,0))</f>
        <v>20.75</v>
      </c>
    </row>
    <row r="69" spans="1:47" x14ac:dyDescent="0.25">
      <c r="A69">
        <f t="shared" si="12"/>
        <v>60</v>
      </c>
      <c r="B69" s="5">
        <f t="shared" si="15"/>
        <v>82</v>
      </c>
      <c r="C69" s="3">
        <f t="shared" si="15"/>
        <v>87</v>
      </c>
      <c r="D69" s="34"/>
      <c r="E69" s="3"/>
      <c r="F69" s="3"/>
      <c r="G69" s="3"/>
      <c r="H69" s="3"/>
      <c r="I69" s="14"/>
      <c r="J69" s="24">
        <f t="shared" si="0"/>
        <v>0</v>
      </c>
      <c r="K69" s="5"/>
      <c r="L69" s="3"/>
      <c r="M69" s="3"/>
      <c r="N69" s="3"/>
      <c r="O69" s="3"/>
      <c r="P69" s="3"/>
      <c r="Q69" s="3"/>
      <c r="R69" s="3"/>
      <c r="S69" s="14"/>
      <c r="T69" s="18">
        <f t="shared" si="1"/>
        <v>0</v>
      </c>
      <c r="U69" s="24">
        <f t="shared" si="2"/>
        <v>0</v>
      </c>
      <c r="V69" s="5"/>
      <c r="W69" s="3"/>
      <c r="X69" s="3"/>
      <c r="Y69" s="3"/>
      <c r="Z69" s="3"/>
      <c r="AA69" s="3"/>
      <c r="AB69" s="3"/>
      <c r="AC69" s="27">
        <f t="shared" si="3"/>
        <v>0</v>
      </c>
      <c r="AD69" s="24">
        <f t="shared" si="4"/>
        <v>0</v>
      </c>
      <c r="AE69" s="5">
        <f t="shared" si="8"/>
        <v>0</v>
      </c>
      <c r="AF69" s="3"/>
      <c r="AG69" s="3">
        <f>IF(MOD(C69,MAX(入力!$AE$29,1))=入力!$AE$29-1,入力!$AD$29,0)
+IF(MOD(C69,MAX(入力!$AE$30,1))=入力!$AE$30-1,入力!$AD$30,0)
+IF(MOD(C69,MAX(入力!$AE$31,1))=入力!$AE$31-1,入力!$AD$31,0)
+IF(MOD(C69,MAX(入力!$AE$32,1))=入力!$AE$32-1,入力!$AD$32,0)
+IF(MOD(C69,MAX(入力!$AE$33,1))=入力!$AE$33-1,入力!$AD$33,0)
+IF(MOD(C69,MAX(入力!$AE$34,1))=入力!$AE$34-1,入力!$AD$34,0)
+IF(MOD(C69,MAX(入力!$AE$35,1))=入力!$AE$35-1,入力!$AD$35,0)</f>
        <v>0</v>
      </c>
      <c r="AH69" s="3">
        <f>IF(AND($C69&gt;=入力!$AC$24,$C69&lt;=入力!$AD$24,MOD(A69,入力!AG$24)=0),入力!$AL$24,IF(AND($C69&gt;=入力!$AC$25,$C69&lt;=入力!$AD$25,MOD(A69,入力!$AG$25)=0),入力!$AL$25,0))</f>
        <v>0</v>
      </c>
      <c r="AI69" s="3">
        <f>IF(AND($C69&gt;=入力!$AC$24,$C69&lt;=入力!$AD$24),入力!$AF$24/60*12,IF(AND($C69&gt;=入力!$AC$25,$C69&lt;=入力!$AD$25),入力!$AF$25/60*12,0))</f>
        <v>0</v>
      </c>
      <c r="AJ69" s="14">
        <f t="shared" si="9"/>
        <v>20.75</v>
      </c>
      <c r="AK69" s="18">
        <f t="shared" si="10"/>
        <v>20.75</v>
      </c>
      <c r="AL69" s="24">
        <f t="shared" si="5"/>
        <v>-20.75</v>
      </c>
      <c r="AM69" s="24">
        <f t="shared" si="6"/>
        <v>-4272.5</v>
      </c>
      <c r="AP69" t="str">
        <f>住居計算!A76</f>
        <v>マンション</v>
      </c>
      <c r="AQ69">
        <f>IF(AND($C69&gt;=入力!$AC$24,$C69&lt;=入力!$AD$24),入力!$AH$24/2,IF(AND($C69&gt;=入力!$AC$25,$C69&lt;=入力!$AD$25),入力!$AH$25/2,0))</f>
        <v>5</v>
      </c>
      <c r="AR69">
        <f>IF(AND($C69&gt;=入力!$AC$24,$C69&lt;=入力!$AD$24),入力!$AI$24,IF(AND($C69&gt;=入力!$AC$25,$C69&lt;=入力!$AD$25),入力!$AI$25,0))</f>
        <v>3.75</v>
      </c>
      <c r="AS69">
        <f>IF(AND($C69&gt;=入力!$AC$24,$C69&lt;=入力!$AD$24),入力!$AJ$24*12,IF(AND($C69&gt;=入力!$AC$25,$C69&lt;=入力!$AD$25),入力!$AJ$25*12,0))</f>
        <v>12</v>
      </c>
      <c r="AT69">
        <f t="shared" si="11"/>
        <v>20.75</v>
      </c>
      <c r="AU69">
        <f>IF(AND($C69&gt;=入力!$AC$24,$C69&lt;=入力!$AD$24,SUM(入力!$AE$24:$AF$24)&gt;0),車_大物家電!AT69,IF(AND($C69&gt;=入力!$AC$25,$C69&lt;=入力!$AD$25,SUM(入力!$AE$25:$AF$25)&gt;0),車_大物家電!AT69,0))</f>
        <v>20.75</v>
      </c>
    </row>
    <row r="70" spans="1:47" ht="15" thickBot="1" x14ac:dyDescent="0.3">
      <c r="A70">
        <f t="shared" si="12"/>
        <v>61</v>
      </c>
      <c r="B70" s="5">
        <f t="shared" si="15"/>
        <v>83</v>
      </c>
      <c r="C70" s="3">
        <f t="shared" si="15"/>
        <v>88</v>
      </c>
      <c r="D70" s="34"/>
      <c r="E70" s="3"/>
      <c r="F70" s="3"/>
      <c r="G70" s="3"/>
      <c r="H70" s="3"/>
      <c r="I70" s="14"/>
      <c r="J70" s="24">
        <f t="shared" ref="J70" si="16">SUM(E70:I70)</f>
        <v>0</v>
      </c>
      <c r="K70" s="5"/>
      <c r="L70" s="3"/>
      <c r="M70" s="3"/>
      <c r="N70" s="3"/>
      <c r="O70" s="3"/>
      <c r="P70" s="3"/>
      <c r="Q70" s="3"/>
      <c r="R70" s="3"/>
      <c r="S70" s="14"/>
      <c r="T70" s="18">
        <f t="shared" ref="T70" si="17">SUM(K70:S70)</f>
        <v>0</v>
      </c>
      <c r="U70" s="24">
        <f t="shared" ref="U70" si="18">J70-T70</f>
        <v>0</v>
      </c>
      <c r="V70" s="5"/>
      <c r="W70" s="3"/>
      <c r="X70" s="3"/>
      <c r="Y70" s="3"/>
      <c r="Z70" s="3"/>
      <c r="AA70" s="3"/>
      <c r="AB70" s="3"/>
      <c r="AC70" s="27">
        <f t="shared" ref="AC70" si="19">SUM(V70:AB70)</f>
        <v>0</v>
      </c>
      <c r="AD70" s="24">
        <f t="shared" ref="AD70" si="20">U70-AC70</f>
        <v>0</v>
      </c>
      <c r="AE70" s="5">
        <f t="shared" si="8"/>
        <v>0</v>
      </c>
      <c r="AF70" s="3"/>
      <c r="AG70" s="3">
        <f>IF(MOD(C70,MAX(入力!$AE$29,1))=入力!$AE$29-1,入力!$AD$29,0)
+IF(MOD(C70,MAX(入力!$AE$30,1))=入力!$AE$30-1,入力!$AD$30,0)
+IF(MOD(C70,MAX(入力!$AE$31,1))=入力!$AE$31-1,入力!$AD$31,0)
+IF(MOD(C70,MAX(入力!$AE$32,1))=入力!$AE$32-1,入力!$AD$32,0)
+IF(MOD(C70,MAX(入力!$AE$33,1))=入力!$AE$33-1,入力!$AD$33,0)
+IF(MOD(C70,MAX(入力!$AE$34,1))=入力!$AE$34-1,入力!$AD$34,0)
+IF(MOD(C70,MAX(入力!$AE$35,1))=入力!$AE$35-1,入力!$AD$35,0)</f>
        <v>0</v>
      </c>
      <c r="AH70" s="3">
        <f>IF(AND($C70&gt;=入力!$AC$24,$C70&lt;=入力!$AD$24,MOD(A70,入力!AG$24)=0),入力!$AL$24,IF(AND($C70&gt;=入力!$AC$25,$C70&lt;=入力!$AD$25,MOD(A70,入力!$AG$25)=0),入力!$AL$25,0))</f>
        <v>0</v>
      </c>
      <c r="AI70" s="3">
        <f>IF(AND($C70&gt;=入力!$AC$24,$C70&lt;=入力!$AD$24),入力!$AF$24/60*12,IF(AND($C70&gt;=入力!$AC$25,$C70&lt;=入力!$AD$25),入力!$AF$25/60*12,0))</f>
        <v>0</v>
      </c>
      <c r="AJ70" s="14">
        <f t="shared" si="9"/>
        <v>20.75</v>
      </c>
      <c r="AK70" s="18">
        <f t="shared" si="10"/>
        <v>20.75</v>
      </c>
      <c r="AL70" s="24">
        <f t="shared" ref="AL70" si="21">AD70-AK70</f>
        <v>-20.75</v>
      </c>
      <c r="AM70" s="25">
        <f t="shared" ref="AM70" si="22">AL70+AM69</f>
        <v>-4293.25</v>
      </c>
      <c r="AP70" t="str">
        <f>住居計算!A77</f>
        <v>マンション</v>
      </c>
      <c r="AQ70">
        <f>IF(AND($C70&gt;=入力!$AC$24,$C70&lt;=入力!$AD$24),入力!$AH$24/2,IF(AND($C70&gt;=入力!$AC$25,$C70&lt;=入力!$AD$25),入力!$AH$25/2,0))</f>
        <v>5</v>
      </c>
      <c r="AR70">
        <f>IF(AND($C70&gt;=入力!$AC$24,$C70&lt;=入力!$AD$24),入力!$AI$24,IF(AND($C70&gt;=入力!$AC$25,$C70&lt;=入力!$AD$25),入力!$AI$25,0))</f>
        <v>3.75</v>
      </c>
      <c r="AS70">
        <f>IF(AND($C70&gt;=入力!$AC$24,$C70&lt;=入力!$AD$24),入力!$AJ$24*12,IF(AND($C70&gt;=入力!$AC$25,$C70&lt;=入力!$AD$25),入力!$AJ$25*12,0))</f>
        <v>12</v>
      </c>
      <c r="AT70">
        <f t="shared" si="11"/>
        <v>20.75</v>
      </c>
      <c r="AU70">
        <f>IF(AND($C70&gt;=入力!$AC$24,$C70&lt;=入力!$AD$24,SUM(入力!$AE$24:$AF$24)&gt;0),車_大物家電!AT70,IF(AND($C70&gt;=入力!$AC$25,$C70&lt;=入力!$AD$25,SUM(入力!$AE$25:$AF$25)&gt;0),車_大物家電!AT70,0))</f>
        <v>20.75</v>
      </c>
    </row>
    <row r="71" spans="1:47" ht="15" thickTop="1" x14ac:dyDescent="0.25">
      <c r="B71" s="35"/>
      <c r="C71" s="2"/>
      <c r="D71" s="36">
        <f t="shared" ref="D71:Q71" si="23">SUM(D6:D70)</f>
        <v>0</v>
      </c>
      <c r="E71" s="2">
        <f t="shared" si="23"/>
        <v>0</v>
      </c>
      <c r="F71" s="2">
        <f t="shared" si="23"/>
        <v>0</v>
      </c>
      <c r="G71" s="2"/>
      <c r="H71" s="2">
        <f t="shared" si="23"/>
        <v>0</v>
      </c>
      <c r="I71" s="37">
        <f t="shared" si="23"/>
        <v>0</v>
      </c>
      <c r="J71" s="38">
        <f t="shared" si="23"/>
        <v>0</v>
      </c>
      <c r="K71" s="35">
        <f t="shared" si="23"/>
        <v>0</v>
      </c>
      <c r="L71" s="2">
        <f t="shared" si="23"/>
        <v>0</v>
      </c>
      <c r="M71" s="2">
        <f t="shared" si="23"/>
        <v>0</v>
      </c>
      <c r="N71" s="2">
        <f t="shared" si="23"/>
        <v>0</v>
      </c>
      <c r="O71" s="2">
        <f t="shared" si="23"/>
        <v>0</v>
      </c>
      <c r="P71" s="2">
        <f t="shared" si="23"/>
        <v>0</v>
      </c>
      <c r="Q71" s="2">
        <f t="shared" si="23"/>
        <v>0</v>
      </c>
      <c r="R71" s="2"/>
      <c r="S71" s="2">
        <f t="shared" ref="S71:AK71" si="24">SUM(S6:S70)</f>
        <v>0</v>
      </c>
      <c r="T71" s="39">
        <f t="shared" si="24"/>
        <v>0</v>
      </c>
      <c r="U71" s="38">
        <f t="shared" si="24"/>
        <v>0</v>
      </c>
      <c r="V71" s="2">
        <f t="shared" si="24"/>
        <v>0</v>
      </c>
      <c r="W71" s="2">
        <f t="shared" si="24"/>
        <v>0</v>
      </c>
      <c r="X71" s="2">
        <f t="shared" si="24"/>
        <v>0</v>
      </c>
      <c r="Y71" s="2">
        <f t="shared" si="24"/>
        <v>0</v>
      </c>
      <c r="Z71" s="2">
        <f t="shared" si="24"/>
        <v>0</v>
      </c>
      <c r="AA71" s="2">
        <f t="shared" si="24"/>
        <v>0</v>
      </c>
      <c r="AB71" s="2">
        <f t="shared" si="24"/>
        <v>0</v>
      </c>
      <c r="AC71" s="39">
        <f t="shared" si="24"/>
        <v>0</v>
      </c>
      <c r="AD71" s="38">
        <f t="shared" si="24"/>
        <v>0</v>
      </c>
      <c r="AE71" s="35">
        <f t="shared" si="24"/>
        <v>0</v>
      </c>
      <c r="AF71" s="2">
        <f t="shared" si="24"/>
        <v>0</v>
      </c>
      <c r="AG71" s="2">
        <f t="shared" si="24"/>
        <v>363</v>
      </c>
      <c r="AH71" s="2">
        <f t="shared" si="24"/>
        <v>2550</v>
      </c>
      <c r="AI71" s="2">
        <f t="shared" si="24"/>
        <v>0</v>
      </c>
      <c r="AJ71" s="37">
        <f t="shared" si="24"/>
        <v>1380.25</v>
      </c>
      <c r="AK71" s="40">
        <f t="shared" si="24"/>
        <v>4293.25</v>
      </c>
      <c r="AL71" s="38">
        <f>SUM(AL5:AL70)</f>
        <v>-4293.25</v>
      </c>
      <c r="AM71"/>
    </row>
    <row r="72" spans="1:47" x14ac:dyDescent="0.25">
      <c r="AM72"/>
    </row>
    <row r="73" spans="1:47" x14ac:dyDescent="0.25">
      <c r="AM73"/>
    </row>
    <row r="74" spans="1:47" x14ac:dyDescent="0.25">
      <c r="AM74"/>
    </row>
  </sheetData>
  <phoneticPr fontId="2"/>
  <pageMargins left="0.7" right="0.7" top="0.75" bottom="0.75" header="0.3" footer="0.3"/>
  <pageSetup paperSize="8"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FF00"/>
  </sheetPr>
  <dimension ref="B2:AU74"/>
  <sheetViews>
    <sheetView zoomScale="70" zoomScaleNormal="70" workbookViewId="0">
      <selection activeCell="N63" sqref="N63"/>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6" width="6.25" style="1" customWidth="1"/>
    <col min="7" max="8" width="3.125" style="1" bestFit="1" customWidth="1"/>
    <col min="9" max="9" width="7.125" style="1" bestFit="1" customWidth="1"/>
    <col min="10" max="10" width="6.25" style="1" bestFit="1" customWidth="1"/>
    <col min="11" max="11" width="5.125" style="1" bestFit="1" customWidth="1"/>
    <col min="12" max="13" width="6.25" style="1" bestFit="1" customWidth="1"/>
    <col min="14" max="16" width="5.125" style="1" bestFit="1" customWidth="1"/>
    <col min="17" max="17" width="6.125" style="1" customWidth="1"/>
    <col min="18" max="18" width="5.5" style="1" customWidth="1"/>
    <col min="19" max="19" width="7.125" style="1" bestFit="1" customWidth="1"/>
    <col min="20" max="20" width="6.125" style="1" customWidth="1"/>
    <col min="21" max="23" width="5.125" style="1" bestFit="1" customWidth="1"/>
    <col min="24" max="24" width="6.25" style="1" bestFit="1" customWidth="1"/>
    <col min="25" max="27" width="3.125" style="1" bestFit="1" customWidth="1"/>
    <col min="28" max="28" width="6.875" style="1" bestFit="1" customWidth="1"/>
    <col min="29" max="29" width="9" style="1" bestFit="1" customWidth="1"/>
    <col min="30" max="30" width="3.125" style="1" bestFit="1" customWidth="1"/>
    <col min="31" max="31" width="6.875" style="1" bestFit="1" customWidth="1"/>
    <col min="32" max="32" width="4.375" style="1" bestFit="1" customWidth="1"/>
    <col min="33" max="33" width="6.875" style="1" bestFit="1" customWidth="1"/>
    <col min="34" max="35" width="3.125" style="1" bestFit="1" customWidth="1"/>
    <col min="36" max="36" width="6.875" style="1" bestFit="1" customWidth="1"/>
    <col min="37" max="37" width="7.625" style="1" bestFit="1" customWidth="1"/>
    <col min="38" max="38" width="8.5" style="1" bestFit="1" customWidth="1"/>
    <col min="39" max="40" width="6.125" style="1" customWidth="1"/>
    <col min="41" max="41" width="9.875" style="1" bestFit="1" customWidth="1"/>
    <col min="42" max="42" width="7" style="1" bestFit="1" customWidth="1"/>
    <col min="43" max="43" width="5.375" style="1" bestFit="1" customWidth="1"/>
    <col min="44" max="44" width="3.125" style="1" bestFit="1" customWidth="1"/>
    <col min="45" max="45" width="8.5" style="1" bestFit="1" customWidth="1"/>
    <col min="46" max="46" width="10.125" style="1" bestFit="1" customWidth="1"/>
    <col min="47" max="47" width="8.5" style="1" bestFit="1" customWidth="1"/>
    <col min="48" max="52" width="6.25" bestFit="1" customWidth="1"/>
  </cols>
  <sheetData>
    <row r="2" spans="2:47" s="10" customFormat="1" x14ac:dyDescent="0.25">
      <c r="B2" s="41"/>
      <c r="C2" s="42"/>
      <c r="D2" s="31"/>
      <c r="E2" s="20"/>
      <c r="F2" s="20"/>
      <c r="G2" s="20"/>
      <c r="H2" s="20"/>
      <c r="I2" s="21" t="s">
        <v>15</v>
      </c>
      <c r="J2" s="19"/>
      <c r="K2" s="20"/>
      <c r="L2" s="20"/>
      <c r="M2" s="20"/>
      <c r="N2" s="20"/>
      <c r="O2" s="20"/>
      <c r="P2" s="20"/>
      <c r="Q2" s="20"/>
      <c r="R2" s="20"/>
      <c r="S2" s="21"/>
      <c r="T2" s="21" t="s">
        <v>6</v>
      </c>
      <c r="U2" s="20"/>
      <c r="V2" s="20"/>
      <c r="W2" s="20"/>
      <c r="X2" s="20"/>
      <c r="Y2" s="20"/>
      <c r="Z2" s="20"/>
      <c r="AA2" s="20"/>
      <c r="AB2" s="20"/>
      <c r="AC2" s="21" t="s">
        <v>6</v>
      </c>
      <c r="AD2" s="20"/>
      <c r="AE2" s="20"/>
      <c r="AF2" s="20"/>
      <c r="AG2" s="20"/>
      <c r="AH2" s="20"/>
      <c r="AI2" s="20"/>
      <c r="AJ2" s="20"/>
      <c r="AK2" s="21" t="s">
        <v>7</v>
      </c>
      <c r="AL2" s="21" t="s">
        <v>8</v>
      </c>
      <c r="AM2" s="9"/>
      <c r="AN2" s="9"/>
      <c r="AO2" s="9" t="s">
        <v>9</v>
      </c>
      <c r="AP2" s="9" t="s">
        <v>10</v>
      </c>
      <c r="AQ2" s="9" t="s">
        <v>11</v>
      </c>
      <c r="AR2" s="9"/>
      <c r="AS2" s="9" t="s">
        <v>12</v>
      </c>
      <c r="AT2" s="9" t="s">
        <v>13</v>
      </c>
      <c r="AU2" s="9" t="s">
        <v>14</v>
      </c>
    </row>
    <row r="3" spans="2:47" s="10" customFormat="1" x14ac:dyDescent="0.25">
      <c r="B3" s="43"/>
      <c r="C3" s="44"/>
      <c r="D3" s="32"/>
      <c r="E3" s="28"/>
      <c r="F3" s="28"/>
      <c r="G3" s="28"/>
      <c r="H3" s="29"/>
      <c r="I3" s="22"/>
      <c r="J3" s="15"/>
      <c r="K3" s="16"/>
      <c r="L3" s="16"/>
      <c r="M3" s="16"/>
      <c r="N3" s="16"/>
      <c r="O3" s="16"/>
      <c r="P3" s="16"/>
      <c r="Q3" s="16"/>
      <c r="R3" s="16"/>
      <c r="S3" s="26" t="s">
        <v>38</v>
      </c>
      <c r="T3" s="22"/>
      <c r="U3" s="16"/>
      <c r="V3" s="16"/>
      <c r="W3" s="16"/>
      <c r="X3" s="16"/>
      <c r="Y3" s="16"/>
      <c r="Z3" s="16"/>
      <c r="AA3" s="16"/>
      <c r="AB3" s="26" t="s">
        <v>37</v>
      </c>
      <c r="AC3" s="22"/>
      <c r="AD3" s="16"/>
      <c r="AE3" s="16"/>
      <c r="AF3" s="16"/>
      <c r="AG3" s="16"/>
      <c r="AH3" s="16"/>
      <c r="AI3" s="16"/>
      <c r="AJ3" s="16"/>
      <c r="AK3" s="26" t="s">
        <v>36</v>
      </c>
      <c r="AL3" s="22"/>
      <c r="AM3" s="9"/>
      <c r="AN3" s="9"/>
      <c r="AO3" s="9"/>
      <c r="AP3" s="9"/>
      <c r="AQ3" s="9"/>
      <c r="AR3" s="9"/>
      <c r="AS3" s="9"/>
      <c r="AT3" s="9"/>
      <c r="AU3" s="9"/>
    </row>
    <row r="4" spans="2:47" s="4" customFormat="1" ht="54.75" thickBot="1" x14ac:dyDescent="0.3">
      <c r="B4" s="7" t="s">
        <v>16</v>
      </c>
      <c r="C4" s="6" t="s">
        <v>17</v>
      </c>
      <c r="D4" s="33" t="s">
        <v>33</v>
      </c>
      <c r="E4" s="6" t="s">
        <v>34</v>
      </c>
      <c r="F4" s="6" t="s">
        <v>39</v>
      </c>
      <c r="G4" s="6"/>
      <c r="H4" s="30"/>
      <c r="I4" s="23"/>
      <c r="J4" s="11" t="s">
        <v>18</v>
      </c>
      <c r="K4" s="12" t="s">
        <v>19</v>
      </c>
      <c r="L4" s="12" t="s">
        <v>20</v>
      </c>
      <c r="M4" s="12" t="s">
        <v>21</v>
      </c>
      <c r="N4" s="12" t="s">
        <v>22</v>
      </c>
      <c r="O4" s="12" t="s">
        <v>23</v>
      </c>
      <c r="P4" s="12" t="s">
        <v>24</v>
      </c>
      <c r="Q4" s="12"/>
      <c r="R4" s="13"/>
      <c r="S4" s="17"/>
      <c r="T4" s="23"/>
      <c r="U4" s="11" t="s">
        <v>27</v>
      </c>
      <c r="V4" s="12" t="s">
        <v>28</v>
      </c>
      <c r="W4" s="12" t="s">
        <v>25</v>
      </c>
      <c r="X4" s="12" t="s">
        <v>26</v>
      </c>
      <c r="Y4" s="12"/>
      <c r="Z4" s="12"/>
      <c r="AA4" s="13"/>
      <c r="AB4" s="17"/>
      <c r="AC4" s="23"/>
      <c r="AD4" s="11"/>
      <c r="AE4" s="12" t="s">
        <v>29</v>
      </c>
      <c r="AF4" s="12" t="s">
        <v>30</v>
      </c>
      <c r="AG4" s="12" t="s">
        <v>31</v>
      </c>
      <c r="AH4" s="12"/>
      <c r="AI4" s="12"/>
      <c r="AJ4" s="13" t="s">
        <v>35</v>
      </c>
      <c r="AK4" s="17"/>
      <c r="AL4" s="23"/>
      <c r="AM4" s="6"/>
      <c r="AN4" s="6"/>
      <c r="AO4" s="6" t="s">
        <v>32</v>
      </c>
      <c r="AP4" s="6"/>
      <c r="AQ4" s="6"/>
      <c r="AR4" s="6"/>
      <c r="AS4" s="6"/>
      <c r="AT4" s="6"/>
      <c r="AU4" s="6"/>
    </row>
    <row r="5" spans="2:47" s="4" customFormat="1" ht="15" thickTop="1" x14ac:dyDescent="0.25">
      <c r="B5" s="169" t="s">
        <v>218</v>
      </c>
      <c r="C5" s="165"/>
      <c r="D5" s="170"/>
      <c r="E5" s="165"/>
      <c r="F5" s="165"/>
      <c r="G5" s="165"/>
      <c r="H5" s="166"/>
      <c r="I5" s="168"/>
      <c r="J5" s="164"/>
      <c r="K5" s="165"/>
      <c r="L5" s="165"/>
      <c r="M5" s="165"/>
      <c r="N5" s="165"/>
      <c r="O5" s="165"/>
      <c r="P5" s="165"/>
      <c r="Q5" s="165"/>
      <c r="R5" s="166"/>
      <c r="S5" s="167"/>
      <c r="T5" s="168"/>
      <c r="U5" s="164"/>
      <c r="V5" s="165"/>
      <c r="W5" s="165"/>
      <c r="X5" s="165"/>
      <c r="Y5" s="165"/>
      <c r="Z5" s="165"/>
      <c r="AA5" s="166"/>
      <c r="AB5" s="167"/>
      <c r="AC5" s="168"/>
      <c r="AD5" s="164"/>
      <c r="AE5" s="165"/>
      <c r="AF5" s="165"/>
      <c r="AG5" s="165"/>
      <c r="AH5" s="165"/>
      <c r="AI5" s="165"/>
      <c r="AJ5" s="166"/>
      <c r="AK5" s="167"/>
      <c r="AL5" s="168"/>
      <c r="AM5" s="165"/>
      <c r="AN5" s="165"/>
      <c r="AO5" s="165"/>
      <c r="AP5" s="165"/>
      <c r="AQ5" s="155"/>
      <c r="AR5" s="155"/>
      <c r="AS5" s="155"/>
      <c r="AT5" s="155"/>
      <c r="AU5" s="155"/>
    </row>
    <row r="6" spans="2:47" x14ac:dyDescent="0.25">
      <c r="B6" s="5"/>
      <c r="C6" s="3"/>
      <c r="D6" s="34"/>
      <c r="E6" s="3"/>
      <c r="F6" s="3"/>
      <c r="G6" s="3"/>
      <c r="H6" s="14"/>
      <c r="I6" s="24"/>
      <c r="J6" s="5"/>
      <c r="K6" s="3"/>
      <c r="L6" s="3"/>
      <c r="M6" s="3"/>
      <c r="N6" s="3"/>
      <c r="O6" s="3"/>
      <c r="P6" s="3"/>
      <c r="Q6" s="3"/>
      <c r="R6" s="14"/>
      <c r="S6" s="18"/>
      <c r="T6" s="24"/>
      <c r="U6" s="5"/>
      <c r="V6" s="3"/>
      <c r="W6" s="3"/>
      <c r="X6" s="3"/>
      <c r="Y6" s="3"/>
      <c r="Z6" s="3"/>
      <c r="AA6" s="14"/>
      <c r="AB6" s="18"/>
      <c r="AC6" s="24"/>
      <c r="AD6" s="5"/>
      <c r="AE6" s="3"/>
      <c r="AF6" s="3"/>
      <c r="AG6" s="3"/>
      <c r="AH6" s="3"/>
      <c r="AI6" s="3"/>
      <c r="AJ6" s="14"/>
      <c r="AK6" s="18"/>
      <c r="AL6" s="24"/>
    </row>
    <row r="7" spans="2:47" x14ac:dyDescent="0.25">
      <c r="B7" s="5"/>
      <c r="C7" s="3"/>
      <c r="D7" s="34"/>
      <c r="E7" s="3"/>
      <c r="F7" s="3"/>
      <c r="G7" s="3"/>
      <c r="H7" s="14"/>
      <c r="I7" s="24"/>
      <c r="J7" s="5"/>
      <c r="K7" s="3"/>
      <c r="L7" s="3"/>
      <c r="M7" s="3"/>
      <c r="N7" s="3"/>
      <c r="O7" s="3"/>
      <c r="P7" s="3"/>
      <c r="Q7" s="3"/>
      <c r="R7" s="14"/>
      <c r="S7" s="18"/>
      <c r="T7" s="24"/>
      <c r="U7" s="5"/>
      <c r="V7" s="3"/>
      <c r="W7" s="3"/>
      <c r="X7" s="3"/>
      <c r="Y7" s="3"/>
      <c r="Z7" s="3"/>
      <c r="AA7" s="14"/>
      <c r="AB7" s="18"/>
      <c r="AC7" s="24"/>
      <c r="AD7" s="5"/>
      <c r="AE7" s="3"/>
      <c r="AF7" s="3"/>
      <c r="AG7" s="3"/>
      <c r="AH7" s="3"/>
      <c r="AI7" s="3"/>
      <c r="AJ7" s="14"/>
      <c r="AK7" s="18"/>
      <c r="AL7" s="24"/>
    </row>
    <row r="8" spans="2:47" x14ac:dyDescent="0.25">
      <c r="B8" s="5"/>
      <c r="C8" s="3"/>
      <c r="D8" s="34"/>
      <c r="E8" s="3"/>
      <c r="F8" s="3"/>
      <c r="G8" s="3"/>
      <c r="H8" s="14"/>
      <c r="I8" s="24"/>
      <c r="J8" s="5"/>
      <c r="K8" s="3"/>
      <c r="L8" s="3"/>
      <c r="M8" s="3"/>
      <c r="N8" s="3"/>
      <c r="O8" s="3"/>
      <c r="P8" s="3"/>
      <c r="Q8" s="3"/>
      <c r="R8" s="14"/>
      <c r="S8" s="18"/>
      <c r="T8" s="24"/>
      <c r="U8" s="5"/>
      <c r="V8" s="3"/>
      <c r="W8" s="3"/>
      <c r="X8" s="3"/>
      <c r="Y8" s="3"/>
      <c r="Z8" s="3"/>
      <c r="AA8" s="14"/>
      <c r="AB8" s="18"/>
      <c r="AC8" s="24"/>
      <c r="AD8" s="5"/>
      <c r="AE8" s="3"/>
      <c r="AF8" s="3"/>
      <c r="AG8" s="3"/>
      <c r="AH8" s="3"/>
      <c r="AI8" s="3"/>
      <c r="AJ8" s="14"/>
      <c r="AK8" s="18"/>
      <c r="AL8" s="24"/>
    </row>
    <row r="9" spans="2:47" x14ac:dyDescent="0.25">
      <c r="B9" s="5"/>
      <c r="C9" s="3"/>
      <c r="D9" s="34"/>
      <c r="E9" s="3"/>
      <c r="F9" s="3"/>
      <c r="G9" s="3"/>
      <c r="H9" s="14"/>
      <c r="I9" s="24"/>
      <c r="J9" s="5"/>
      <c r="K9" s="3"/>
      <c r="L9" s="3"/>
      <c r="M9" s="3"/>
      <c r="N9" s="3"/>
      <c r="O9" s="3"/>
      <c r="P9" s="3"/>
      <c r="Q9" s="3"/>
      <c r="R9" s="14"/>
      <c r="S9" s="18"/>
      <c r="T9" s="24"/>
      <c r="U9" s="5"/>
      <c r="V9" s="3"/>
      <c r="W9" s="3"/>
      <c r="X9" s="3"/>
      <c r="Y9" s="3"/>
      <c r="Z9" s="3"/>
      <c r="AA9" s="14"/>
      <c r="AB9" s="18"/>
      <c r="AC9" s="24"/>
      <c r="AD9" s="5"/>
      <c r="AE9" s="3"/>
      <c r="AF9" s="3"/>
      <c r="AG9" s="3"/>
      <c r="AH9" s="3"/>
      <c r="AI9" s="3"/>
      <c r="AJ9" s="14"/>
      <c r="AK9" s="18"/>
      <c r="AL9" s="24"/>
    </row>
    <row r="10" spans="2:47" x14ac:dyDescent="0.25">
      <c r="B10" s="5"/>
      <c r="C10" s="3"/>
      <c r="D10" s="34"/>
      <c r="E10" s="3"/>
      <c r="F10" s="3"/>
      <c r="G10" s="3"/>
      <c r="H10" s="14"/>
      <c r="I10" s="24"/>
      <c r="J10" s="5"/>
      <c r="K10" s="3"/>
      <c r="L10" s="3"/>
      <c r="M10" s="3"/>
      <c r="N10" s="3"/>
      <c r="O10" s="3"/>
      <c r="P10" s="3"/>
      <c r="Q10" s="3"/>
      <c r="R10" s="14"/>
      <c r="S10" s="18"/>
      <c r="T10" s="24"/>
      <c r="U10" s="5"/>
      <c r="V10" s="3"/>
      <c r="W10" s="3"/>
      <c r="X10" s="3"/>
      <c r="Y10" s="3"/>
      <c r="Z10" s="3"/>
      <c r="AA10" s="14"/>
      <c r="AB10" s="18"/>
      <c r="AC10" s="24"/>
      <c r="AD10" s="5"/>
      <c r="AE10" s="3"/>
      <c r="AF10" s="3"/>
      <c r="AG10" s="3"/>
      <c r="AH10" s="3"/>
      <c r="AI10" s="3"/>
      <c r="AJ10" s="14"/>
      <c r="AK10" s="18"/>
      <c r="AL10" s="24"/>
    </row>
    <row r="11" spans="2:47" x14ac:dyDescent="0.25">
      <c r="B11" s="5"/>
      <c r="C11" s="3"/>
      <c r="D11" s="34"/>
      <c r="E11" s="3"/>
      <c r="F11" s="3"/>
      <c r="G11" s="3"/>
      <c r="H11" s="14"/>
      <c r="I11" s="24"/>
      <c r="J11" s="5"/>
      <c r="K11" s="3"/>
      <c r="L11" s="3"/>
      <c r="M11" s="3"/>
      <c r="N11" s="3"/>
      <c r="O11" s="3"/>
      <c r="P11" s="3"/>
      <c r="Q11" s="3"/>
      <c r="R11" s="14"/>
      <c r="S11" s="18"/>
      <c r="T11" s="24"/>
      <c r="U11" s="5"/>
      <c r="V11" s="3"/>
      <c r="W11" s="3"/>
      <c r="X11" s="3"/>
      <c r="Y11" s="3"/>
      <c r="Z11" s="3"/>
      <c r="AA11" s="14"/>
      <c r="AB11" s="18"/>
      <c r="AC11" s="24"/>
      <c r="AD11" s="5"/>
      <c r="AE11" s="3"/>
      <c r="AF11" s="3"/>
      <c r="AG11" s="3"/>
      <c r="AH11" s="3"/>
      <c r="AI11" s="3"/>
      <c r="AJ11" s="14"/>
      <c r="AK11" s="18"/>
      <c r="AL11" s="24"/>
    </row>
    <row r="12" spans="2:47" x14ac:dyDescent="0.25">
      <c r="B12" s="5"/>
      <c r="C12" s="3"/>
      <c r="D12" s="34"/>
      <c r="E12" s="3"/>
      <c r="F12" s="3"/>
      <c r="G12" s="3"/>
      <c r="H12" s="14"/>
      <c r="I12" s="24"/>
      <c r="J12" s="5"/>
      <c r="K12" s="3"/>
      <c r="L12" s="3"/>
      <c r="M12" s="3"/>
      <c r="N12" s="3"/>
      <c r="O12" s="3"/>
      <c r="P12" s="3"/>
      <c r="Q12" s="3"/>
      <c r="R12" s="14"/>
      <c r="S12" s="18"/>
      <c r="T12" s="24"/>
      <c r="U12" s="5"/>
      <c r="V12" s="3"/>
      <c r="W12" s="3"/>
      <c r="X12" s="3"/>
      <c r="Y12" s="3"/>
      <c r="Z12" s="3"/>
      <c r="AA12" s="14"/>
      <c r="AB12" s="18"/>
      <c r="AC12" s="24"/>
      <c r="AD12" s="5"/>
      <c r="AE12" s="3"/>
      <c r="AF12" s="3"/>
      <c r="AG12" s="3"/>
      <c r="AH12" s="3"/>
      <c r="AI12" s="3"/>
      <c r="AJ12" s="14"/>
      <c r="AK12" s="18"/>
      <c r="AL12" s="24"/>
    </row>
    <row r="13" spans="2:47" x14ac:dyDescent="0.25">
      <c r="B13" s="5"/>
      <c r="C13" s="3"/>
      <c r="D13" s="34"/>
      <c r="E13" s="3"/>
      <c r="F13" s="3"/>
      <c r="G13" s="3"/>
      <c r="H13" s="14"/>
      <c r="I13" s="24"/>
      <c r="J13" s="5"/>
      <c r="K13" s="3"/>
      <c r="L13" s="3"/>
      <c r="M13" s="3"/>
      <c r="N13" s="3"/>
      <c r="O13" s="3"/>
      <c r="P13" s="3"/>
      <c r="Q13" s="3"/>
      <c r="R13" s="14"/>
      <c r="S13" s="18"/>
      <c r="T13" s="24"/>
      <c r="U13" s="5"/>
      <c r="V13" s="3"/>
      <c r="W13" s="3"/>
      <c r="X13" s="3"/>
      <c r="Y13" s="3"/>
      <c r="Z13" s="3"/>
      <c r="AA13" s="14"/>
      <c r="AB13" s="18"/>
      <c r="AC13" s="24"/>
      <c r="AD13" s="5"/>
      <c r="AE13" s="3"/>
      <c r="AF13" s="3"/>
      <c r="AG13" s="3"/>
      <c r="AH13" s="3"/>
      <c r="AI13" s="3"/>
      <c r="AJ13" s="14"/>
      <c r="AK13" s="18"/>
      <c r="AL13" s="24"/>
    </row>
    <row r="14" spans="2:47" x14ac:dyDescent="0.25">
      <c r="B14" s="5"/>
      <c r="C14" s="3"/>
      <c r="D14" s="34"/>
      <c r="E14" s="3"/>
      <c r="F14" s="3"/>
      <c r="G14" s="3"/>
      <c r="H14" s="14"/>
      <c r="I14" s="24"/>
      <c r="J14" s="5"/>
      <c r="K14" s="3"/>
      <c r="L14" s="3"/>
      <c r="M14" s="3"/>
      <c r="N14" s="3"/>
      <c r="O14" s="3"/>
      <c r="P14" s="3"/>
      <c r="Q14" s="3"/>
      <c r="R14" s="14"/>
      <c r="S14" s="18"/>
      <c r="T14" s="24"/>
      <c r="U14" s="5"/>
      <c r="V14" s="3"/>
      <c r="W14" s="3"/>
      <c r="X14" s="3"/>
      <c r="Y14" s="3"/>
      <c r="Z14" s="3"/>
      <c r="AA14" s="14"/>
      <c r="AB14" s="18"/>
      <c r="AC14" s="24"/>
      <c r="AD14" s="5"/>
      <c r="AE14" s="3"/>
      <c r="AF14" s="3"/>
      <c r="AG14" s="3"/>
      <c r="AH14" s="3"/>
      <c r="AI14" s="3"/>
      <c r="AJ14" s="14"/>
      <c r="AK14" s="18"/>
      <c r="AL14" s="24"/>
    </row>
    <row r="15" spans="2:47" x14ac:dyDescent="0.25">
      <c r="B15" s="5"/>
      <c r="C15" s="3"/>
      <c r="D15" s="34"/>
      <c r="E15" s="3"/>
      <c r="F15" s="3"/>
      <c r="G15" s="3"/>
      <c r="H15" s="14"/>
      <c r="I15" s="24"/>
      <c r="J15" s="5"/>
      <c r="K15" s="3"/>
      <c r="L15" s="3"/>
      <c r="M15" s="3"/>
      <c r="N15" s="3"/>
      <c r="O15" s="3"/>
      <c r="P15" s="3"/>
      <c r="Q15" s="3"/>
      <c r="R15" s="14"/>
      <c r="S15" s="18"/>
      <c r="T15" s="24"/>
      <c r="U15" s="5"/>
      <c r="V15" s="3"/>
      <c r="W15" s="3"/>
      <c r="X15" s="3"/>
      <c r="Y15" s="3"/>
      <c r="Z15" s="3"/>
      <c r="AA15" s="14"/>
      <c r="AB15" s="18"/>
      <c r="AC15" s="24"/>
      <c r="AD15" s="5"/>
      <c r="AE15" s="3"/>
      <c r="AF15" s="3"/>
      <c r="AG15" s="3"/>
      <c r="AH15" s="3"/>
      <c r="AI15" s="3"/>
      <c r="AJ15" s="14"/>
      <c r="AK15" s="18"/>
      <c r="AL15" s="24"/>
    </row>
    <row r="16" spans="2:47" x14ac:dyDescent="0.25">
      <c r="B16" s="5"/>
      <c r="C16" s="3"/>
      <c r="D16" s="34"/>
      <c r="E16" s="3"/>
      <c r="F16" s="3"/>
      <c r="G16" s="3"/>
      <c r="H16" s="14"/>
      <c r="I16" s="24"/>
      <c r="J16" s="5"/>
      <c r="K16" s="3"/>
      <c r="L16" s="3"/>
      <c r="M16" s="3"/>
      <c r="N16" s="3"/>
      <c r="O16" s="3"/>
      <c r="P16" s="3"/>
      <c r="Q16" s="3"/>
      <c r="R16" s="14"/>
      <c r="S16" s="18"/>
      <c r="T16" s="24"/>
      <c r="U16" s="5"/>
      <c r="V16" s="3"/>
      <c r="W16" s="3"/>
      <c r="X16" s="3"/>
      <c r="Y16" s="3"/>
      <c r="Z16" s="3"/>
      <c r="AA16" s="14"/>
      <c r="AB16" s="18"/>
      <c r="AC16" s="24"/>
      <c r="AD16" s="5"/>
      <c r="AE16" s="3"/>
      <c r="AF16" s="3"/>
      <c r="AG16" s="3"/>
      <c r="AH16" s="3"/>
      <c r="AI16" s="3"/>
      <c r="AJ16" s="14"/>
      <c r="AK16" s="18"/>
      <c r="AL16" s="24"/>
    </row>
    <row r="17" spans="2:38" x14ac:dyDescent="0.25">
      <c r="B17" s="5"/>
      <c r="C17" s="3"/>
      <c r="D17" s="34"/>
      <c r="E17" s="3"/>
      <c r="F17" s="3"/>
      <c r="G17" s="3"/>
      <c r="H17" s="14"/>
      <c r="I17" s="24"/>
      <c r="J17" s="5"/>
      <c r="K17" s="3"/>
      <c r="L17" s="3"/>
      <c r="M17" s="3"/>
      <c r="N17" s="3"/>
      <c r="O17" s="3"/>
      <c r="P17" s="3"/>
      <c r="Q17" s="3"/>
      <c r="R17" s="14"/>
      <c r="S17" s="18"/>
      <c r="T17" s="24"/>
      <c r="U17" s="5"/>
      <c r="V17" s="3"/>
      <c r="W17" s="3"/>
      <c r="X17" s="3"/>
      <c r="Y17" s="3"/>
      <c r="Z17" s="3"/>
      <c r="AA17" s="14"/>
      <c r="AB17" s="18"/>
      <c r="AC17" s="24"/>
      <c r="AD17" s="5"/>
      <c r="AE17" s="3"/>
      <c r="AF17" s="3"/>
      <c r="AG17" s="3"/>
      <c r="AH17" s="3"/>
      <c r="AI17" s="3"/>
      <c r="AJ17" s="14"/>
      <c r="AK17" s="18"/>
      <c r="AL17" s="24"/>
    </row>
    <row r="18" spans="2:38" x14ac:dyDescent="0.25">
      <c r="B18" s="5"/>
      <c r="C18" s="3"/>
      <c r="D18" s="34"/>
      <c r="E18" s="3"/>
      <c r="F18" s="3"/>
      <c r="G18" s="3"/>
      <c r="H18" s="14"/>
      <c r="I18" s="24"/>
      <c r="J18" s="5"/>
      <c r="K18" s="3"/>
      <c r="L18" s="3"/>
      <c r="M18" s="3"/>
      <c r="N18" s="3"/>
      <c r="O18" s="3"/>
      <c r="P18" s="3"/>
      <c r="Q18" s="3"/>
      <c r="R18" s="14"/>
      <c r="S18" s="18"/>
      <c r="T18" s="24"/>
      <c r="U18" s="5"/>
      <c r="V18" s="3"/>
      <c r="W18" s="3"/>
      <c r="X18" s="3"/>
      <c r="Y18" s="3"/>
      <c r="Z18" s="3"/>
      <c r="AA18" s="14"/>
      <c r="AB18" s="18"/>
      <c r="AC18" s="24"/>
      <c r="AD18" s="5"/>
      <c r="AE18" s="3"/>
      <c r="AF18" s="3"/>
      <c r="AG18" s="3"/>
      <c r="AH18" s="3"/>
      <c r="AI18" s="3"/>
      <c r="AJ18" s="14"/>
      <c r="AK18" s="18"/>
      <c r="AL18" s="24"/>
    </row>
    <row r="19" spans="2:38" x14ac:dyDescent="0.25">
      <c r="B19" s="5"/>
      <c r="C19" s="3"/>
      <c r="D19" s="34"/>
      <c r="E19" s="3"/>
      <c r="F19" s="3"/>
      <c r="G19" s="3"/>
      <c r="H19" s="14"/>
      <c r="I19" s="24"/>
      <c r="J19" s="5"/>
      <c r="K19" s="3"/>
      <c r="L19" s="3"/>
      <c r="M19" s="3"/>
      <c r="N19" s="3"/>
      <c r="O19" s="3"/>
      <c r="P19" s="3"/>
      <c r="Q19" s="3"/>
      <c r="R19" s="14"/>
      <c r="S19" s="18"/>
      <c r="T19" s="24"/>
      <c r="U19" s="5"/>
      <c r="V19" s="3"/>
      <c r="W19" s="3"/>
      <c r="X19" s="3"/>
      <c r="Y19" s="3"/>
      <c r="Z19" s="3"/>
      <c r="AA19" s="14"/>
      <c r="AB19" s="18"/>
      <c r="AC19" s="24"/>
      <c r="AD19" s="5"/>
      <c r="AE19" s="3"/>
      <c r="AF19" s="3"/>
      <c r="AG19" s="3"/>
      <c r="AH19" s="3"/>
      <c r="AI19" s="3"/>
      <c r="AJ19" s="14"/>
      <c r="AK19" s="18"/>
      <c r="AL19" s="24"/>
    </row>
    <row r="20" spans="2:38" x14ac:dyDescent="0.25">
      <c r="B20" s="5"/>
      <c r="C20" s="3"/>
      <c r="D20" s="34"/>
      <c r="E20" s="3"/>
      <c r="F20" s="3"/>
      <c r="G20" s="3"/>
      <c r="H20" s="14"/>
      <c r="I20" s="24"/>
      <c r="J20" s="5"/>
      <c r="K20" s="3"/>
      <c r="L20" s="3"/>
      <c r="M20" s="3"/>
      <c r="N20" s="3"/>
      <c r="O20" s="3"/>
      <c r="P20" s="3"/>
      <c r="Q20" s="3"/>
      <c r="R20" s="14"/>
      <c r="S20" s="18"/>
      <c r="T20" s="24"/>
      <c r="U20" s="5"/>
      <c r="V20" s="3"/>
      <c r="W20" s="3"/>
      <c r="X20" s="3"/>
      <c r="Y20" s="3"/>
      <c r="Z20" s="3"/>
      <c r="AA20" s="14"/>
      <c r="AB20" s="18"/>
      <c r="AC20" s="24"/>
      <c r="AD20" s="5"/>
      <c r="AE20" s="3"/>
      <c r="AF20" s="3"/>
      <c r="AG20" s="3"/>
      <c r="AH20" s="3"/>
      <c r="AI20" s="3"/>
      <c r="AJ20" s="14"/>
      <c r="AK20" s="18"/>
      <c r="AL20" s="24"/>
    </row>
    <row r="21" spans="2:38" x14ac:dyDescent="0.25">
      <c r="B21" s="5"/>
      <c r="C21" s="3"/>
      <c r="D21" s="34"/>
      <c r="E21" s="3"/>
      <c r="F21" s="3"/>
      <c r="G21" s="3"/>
      <c r="H21" s="14"/>
      <c r="I21" s="24"/>
      <c r="J21" s="5"/>
      <c r="K21" s="3"/>
      <c r="L21" s="3"/>
      <c r="M21" s="3"/>
      <c r="N21" s="3"/>
      <c r="O21" s="3"/>
      <c r="P21" s="3"/>
      <c r="Q21" s="3"/>
      <c r="R21" s="14"/>
      <c r="S21" s="18"/>
      <c r="T21" s="24"/>
      <c r="U21" s="5"/>
      <c r="V21" s="3"/>
      <c r="W21" s="3"/>
      <c r="X21" s="3"/>
      <c r="Y21" s="3"/>
      <c r="Z21" s="3"/>
      <c r="AA21" s="14"/>
      <c r="AB21" s="18"/>
      <c r="AC21" s="24"/>
      <c r="AD21" s="5"/>
      <c r="AE21" s="3"/>
      <c r="AF21" s="3"/>
      <c r="AG21" s="3"/>
      <c r="AH21" s="3"/>
      <c r="AI21" s="3"/>
      <c r="AJ21" s="14"/>
      <c r="AK21" s="18"/>
      <c r="AL21" s="24"/>
    </row>
    <row r="22" spans="2:38" x14ac:dyDescent="0.25">
      <c r="B22" s="5"/>
      <c r="C22" s="3"/>
      <c r="D22" s="34"/>
      <c r="E22" s="3"/>
      <c r="F22" s="3"/>
      <c r="G22" s="3"/>
      <c r="H22" s="14"/>
      <c r="I22" s="24"/>
      <c r="J22" s="5"/>
      <c r="K22" s="3"/>
      <c r="L22" s="3"/>
      <c r="M22" s="3"/>
      <c r="N22" s="3"/>
      <c r="O22" s="3"/>
      <c r="P22" s="3"/>
      <c r="Q22" s="3"/>
      <c r="R22" s="14"/>
      <c r="S22" s="18"/>
      <c r="T22" s="24"/>
      <c r="U22" s="5"/>
      <c r="V22" s="3"/>
      <c r="W22" s="3"/>
      <c r="X22" s="3"/>
      <c r="Y22" s="3"/>
      <c r="Z22" s="3"/>
      <c r="AA22" s="14"/>
      <c r="AB22" s="18"/>
      <c r="AC22" s="24"/>
      <c r="AD22" s="5"/>
      <c r="AE22" s="3"/>
      <c r="AF22" s="3"/>
      <c r="AG22" s="3"/>
      <c r="AH22" s="3"/>
      <c r="AI22" s="3"/>
      <c r="AJ22" s="14"/>
      <c r="AK22" s="18"/>
      <c r="AL22" s="24"/>
    </row>
    <row r="23" spans="2:38" x14ac:dyDescent="0.25">
      <c r="B23" s="5"/>
      <c r="C23" s="3"/>
      <c r="D23" s="34"/>
      <c r="E23" s="3"/>
      <c r="F23" s="3"/>
      <c r="G23" s="3"/>
      <c r="H23" s="14"/>
      <c r="I23" s="24"/>
      <c r="J23" s="5"/>
      <c r="K23" s="3"/>
      <c r="L23" s="3"/>
      <c r="M23" s="3"/>
      <c r="N23" s="3"/>
      <c r="O23" s="3"/>
      <c r="P23" s="3"/>
      <c r="Q23" s="3"/>
      <c r="R23" s="14"/>
      <c r="S23" s="18"/>
      <c r="T23" s="24"/>
      <c r="U23" s="5"/>
      <c r="V23" s="3"/>
      <c r="W23" s="3"/>
      <c r="X23" s="3"/>
      <c r="Y23" s="3"/>
      <c r="Z23" s="3"/>
      <c r="AA23" s="14"/>
      <c r="AB23" s="18"/>
      <c r="AC23" s="24"/>
      <c r="AD23" s="5"/>
      <c r="AE23" s="3"/>
      <c r="AF23" s="3"/>
      <c r="AG23" s="3"/>
      <c r="AH23" s="3"/>
      <c r="AI23" s="3"/>
      <c r="AJ23" s="14"/>
      <c r="AK23" s="18"/>
      <c r="AL23" s="24"/>
    </row>
    <row r="24" spans="2:38" x14ac:dyDescent="0.25">
      <c r="B24" s="5"/>
      <c r="C24" s="3"/>
      <c r="D24" s="34"/>
      <c r="E24" s="3"/>
      <c r="F24" s="3"/>
      <c r="G24" s="3"/>
      <c r="H24" s="14"/>
      <c r="I24" s="24"/>
      <c r="J24" s="5"/>
      <c r="K24" s="3"/>
      <c r="L24" s="3"/>
      <c r="M24" s="3"/>
      <c r="N24" s="3"/>
      <c r="O24" s="3"/>
      <c r="P24" s="3"/>
      <c r="Q24" s="3"/>
      <c r="R24" s="14"/>
      <c r="S24" s="18"/>
      <c r="T24" s="24"/>
      <c r="U24" s="5"/>
      <c r="V24" s="3"/>
      <c r="W24" s="3"/>
      <c r="X24" s="3"/>
      <c r="Y24" s="3"/>
      <c r="Z24" s="3"/>
      <c r="AA24" s="14"/>
      <c r="AB24" s="18"/>
      <c r="AC24" s="24"/>
      <c r="AD24" s="5"/>
      <c r="AE24" s="3"/>
      <c r="AF24" s="3"/>
      <c r="AG24" s="3"/>
      <c r="AH24" s="3"/>
      <c r="AI24" s="3"/>
      <c r="AJ24" s="14"/>
      <c r="AK24" s="18"/>
      <c r="AL24" s="24"/>
    </row>
    <row r="25" spans="2:38" x14ac:dyDescent="0.25">
      <c r="B25" s="5"/>
      <c r="C25" s="3"/>
      <c r="D25" s="34"/>
      <c r="E25" s="3"/>
      <c r="F25" s="3"/>
      <c r="G25" s="3"/>
      <c r="H25" s="14"/>
      <c r="I25" s="24"/>
      <c r="J25" s="5"/>
      <c r="K25" s="3"/>
      <c r="L25" s="3"/>
      <c r="M25" s="3"/>
      <c r="N25" s="3"/>
      <c r="O25" s="3"/>
      <c r="P25" s="3"/>
      <c r="Q25" s="3"/>
      <c r="R25" s="14"/>
      <c r="S25" s="18"/>
      <c r="T25" s="24"/>
      <c r="U25" s="5"/>
      <c r="V25" s="3"/>
      <c r="W25" s="3"/>
      <c r="X25" s="3"/>
      <c r="Y25" s="3"/>
      <c r="Z25" s="3"/>
      <c r="AA25" s="14"/>
      <c r="AB25" s="18"/>
      <c r="AC25" s="24"/>
      <c r="AD25" s="5"/>
      <c r="AE25" s="3"/>
      <c r="AF25" s="3"/>
      <c r="AG25" s="3"/>
      <c r="AH25" s="3"/>
      <c r="AI25" s="3"/>
      <c r="AJ25" s="14"/>
      <c r="AK25" s="18"/>
      <c r="AL25" s="24"/>
    </row>
    <row r="26" spans="2:38" x14ac:dyDescent="0.25">
      <c r="B26" s="5"/>
      <c r="C26" s="3"/>
      <c r="D26" s="34"/>
      <c r="E26" s="3"/>
      <c r="F26" s="3"/>
      <c r="G26" s="3"/>
      <c r="H26" s="14"/>
      <c r="I26" s="24"/>
      <c r="J26" s="5"/>
      <c r="K26" s="3"/>
      <c r="L26" s="3"/>
      <c r="M26" s="3"/>
      <c r="N26" s="3"/>
      <c r="O26" s="3"/>
      <c r="P26" s="3"/>
      <c r="Q26" s="3"/>
      <c r="R26" s="14"/>
      <c r="S26" s="18"/>
      <c r="T26" s="24"/>
      <c r="U26" s="5"/>
      <c r="V26" s="3"/>
      <c r="W26" s="3"/>
      <c r="X26" s="3"/>
      <c r="Y26" s="3"/>
      <c r="Z26" s="3"/>
      <c r="AA26" s="14"/>
      <c r="AB26" s="18"/>
      <c r="AC26" s="24"/>
      <c r="AD26" s="5"/>
      <c r="AE26" s="3"/>
      <c r="AF26" s="3"/>
      <c r="AG26" s="3"/>
      <c r="AH26" s="3"/>
      <c r="AI26" s="3"/>
      <c r="AJ26" s="14"/>
      <c r="AK26" s="18"/>
      <c r="AL26" s="24"/>
    </row>
    <row r="27" spans="2:38" x14ac:dyDescent="0.25">
      <c r="B27" s="5"/>
      <c r="C27" s="3"/>
      <c r="D27" s="34"/>
      <c r="E27" s="3"/>
      <c r="F27" s="3"/>
      <c r="G27" s="3"/>
      <c r="H27" s="14"/>
      <c r="I27" s="24"/>
      <c r="J27" s="5"/>
      <c r="K27" s="3"/>
      <c r="L27" s="3"/>
      <c r="M27" s="3"/>
      <c r="N27" s="3"/>
      <c r="O27" s="3"/>
      <c r="P27" s="3"/>
      <c r="Q27" s="3"/>
      <c r="R27" s="14"/>
      <c r="S27" s="18"/>
      <c r="T27" s="24"/>
      <c r="U27" s="5"/>
      <c r="V27" s="3"/>
      <c r="W27" s="3"/>
      <c r="X27" s="3"/>
      <c r="Y27" s="3"/>
      <c r="Z27" s="3"/>
      <c r="AA27" s="14"/>
      <c r="AB27" s="18"/>
      <c r="AC27" s="24"/>
      <c r="AD27" s="5"/>
      <c r="AE27" s="3"/>
      <c r="AF27" s="3"/>
      <c r="AG27" s="3"/>
      <c r="AH27" s="3"/>
      <c r="AI27" s="3"/>
      <c r="AJ27" s="14"/>
      <c r="AK27" s="18"/>
      <c r="AL27" s="24"/>
    </row>
    <row r="28" spans="2:38" x14ac:dyDescent="0.25">
      <c r="B28" s="5"/>
      <c r="C28" s="3"/>
      <c r="D28" s="34"/>
      <c r="E28" s="3"/>
      <c r="F28" s="3"/>
      <c r="G28" s="3"/>
      <c r="H28" s="14"/>
      <c r="I28" s="24"/>
      <c r="J28" s="5"/>
      <c r="K28" s="3"/>
      <c r="L28" s="3"/>
      <c r="M28" s="3"/>
      <c r="N28" s="3"/>
      <c r="O28" s="3"/>
      <c r="P28" s="3"/>
      <c r="Q28" s="3"/>
      <c r="R28" s="14"/>
      <c r="S28" s="18"/>
      <c r="T28" s="24"/>
      <c r="U28" s="5"/>
      <c r="V28" s="3"/>
      <c r="W28" s="3"/>
      <c r="X28" s="3"/>
      <c r="Y28" s="3"/>
      <c r="Z28" s="3"/>
      <c r="AA28" s="14"/>
      <c r="AB28" s="18"/>
      <c r="AC28" s="24"/>
      <c r="AD28" s="5"/>
      <c r="AE28" s="3"/>
      <c r="AF28" s="3"/>
      <c r="AG28" s="3"/>
      <c r="AH28" s="3"/>
      <c r="AI28" s="3"/>
      <c r="AJ28" s="14"/>
      <c r="AK28" s="18"/>
      <c r="AL28" s="24"/>
    </row>
    <row r="29" spans="2:38" x14ac:dyDescent="0.25">
      <c r="B29" s="5"/>
      <c r="C29" s="3"/>
      <c r="D29" s="34"/>
      <c r="E29" s="3"/>
      <c r="F29" s="3"/>
      <c r="G29" s="3"/>
      <c r="H29" s="14"/>
      <c r="I29" s="24"/>
      <c r="J29" s="5"/>
      <c r="K29" s="3"/>
      <c r="L29" s="3"/>
      <c r="M29" s="3"/>
      <c r="N29" s="3"/>
      <c r="O29" s="3"/>
      <c r="P29" s="3"/>
      <c r="Q29" s="3"/>
      <c r="R29" s="14"/>
      <c r="S29" s="18"/>
      <c r="T29" s="24"/>
      <c r="U29" s="5"/>
      <c r="V29" s="3"/>
      <c r="W29" s="3"/>
      <c r="X29" s="3"/>
      <c r="Y29" s="3"/>
      <c r="Z29" s="3"/>
      <c r="AA29" s="14"/>
      <c r="AB29" s="18"/>
      <c r="AC29" s="24"/>
      <c r="AD29" s="5"/>
      <c r="AE29" s="3"/>
      <c r="AF29" s="3"/>
      <c r="AG29" s="3"/>
      <c r="AH29" s="3"/>
      <c r="AI29" s="3"/>
      <c r="AJ29" s="14"/>
      <c r="AK29" s="18"/>
      <c r="AL29" s="24"/>
    </row>
    <row r="30" spans="2:38" x14ac:dyDescent="0.25">
      <c r="B30" s="5"/>
      <c r="C30" s="3"/>
      <c r="D30" s="34"/>
      <c r="E30" s="3"/>
      <c r="F30" s="3"/>
      <c r="G30" s="3"/>
      <c r="H30" s="14"/>
      <c r="I30" s="24"/>
      <c r="J30" s="5"/>
      <c r="K30" s="3"/>
      <c r="L30" s="3"/>
      <c r="M30" s="3"/>
      <c r="N30" s="3"/>
      <c r="O30" s="3"/>
      <c r="P30" s="3"/>
      <c r="Q30" s="3"/>
      <c r="R30" s="14"/>
      <c r="S30" s="18"/>
      <c r="T30" s="24"/>
      <c r="U30" s="5"/>
      <c r="V30" s="3"/>
      <c r="W30" s="3"/>
      <c r="X30" s="3"/>
      <c r="Y30" s="3"/>
      <c r="Z30" s="3"/>
      <c r="AA30" s="14"/>
      <c r="AB30" s="18"/>
      <c r="AC30" s="24"/>
      <c r="AD30" s="5"/>
      <c r="AE30" s="3"/>
      <c r="AF30" s="3"/>
      <c r="AG30" s="3"/>
      <c r="AH30" s="3"/>
      <c r="AI30" s="3"/>
      <c r="AJ30" s="14"/>
      <c r="AK30" s="18"/>
      <c r="AL30" s="24"/>
    </row>
    <row r="31" spans="2:38" x14ac:dyDescent="0.25">
      <c r="B31" s="5"/>
      <c r="C31" s="3"/>
      <c r="D31" s="34"/>
      <c r="E31" s="3"/>
      <c r="F31" s="3"/>
      <c r="G31" s="3"/>
      <c r="H31" s="14"/>
      <c r="I31" s="24"/>
      <c r="J31" s="5"/>
      <c r="K31" s="3"/>
      <c r="L31" s="3"/>
      <c r="M31" s="3"/>
      <c r="N31" s="3"/>
      <c r="O31" s="3"/>
      <c r="P31" s="3"/>
      <c r="Q31" s="3"/>
      <c r="R31" s="14"/>
      <c r="S31" s="18"/>
      <c r="T31" s="24"/>
      <c r="U31" s="5"/>
      <c r="V31" s="3"/>
      <c r="W31" s="3"/>
      <c r="X31" s="3"/>
      <c r="Y31" s="3"/>
      <c r="Z31" s="3"/>
      <c r="AA31" s="14"/>
      <c r="AB31" s="18"/>
      <c r="AC31" s="24"/>
      <c r="AD31" s="5"/>
      <c r="AE31" s="3"/>
      <c r="AF31" s="3"/>
      <c r="AG31" s="3"/>
      <c r="AH31" s="3"/>
      <c r="AI31" s="3"/>
      <c r="AJ31" s="14"/>
      <c r="AK31" s="18"/>
      <c r="AL31" s="24"/>
    </row>
    <row r="32" spans="2:38" x14ac:dyDescent="0.25">
      <c r="B32" s="5"/>
      <c r="C32" s="3"/>
      <c r="D32" s="34"/>
      <c r="E32" s="3"/>
      <c r="F32" s="3"/>
      <c r="G32" s="3"/>
      <c r="H32" s="14"/>
      <c r="I32" s="24"/>
      <c r="J32" s="5"/>
      <c r="K32" s="3"/>
      <c r="L32" s="3"/>
      <c r="M32" s="3"/>
      <c r="N32" s="3"/>
      <c r="O32" s="3"/>
      <c r="P32" s="3"/>
      <c r="Q32" s="3"/>
      <c r="R32" s="14"/>
      <c r="S32" s="18"/>
      <c r="T32" s="24"/>
      <c r="U32" s="5"/>
      <c r="V32" s="3"/>
      <c r="W32" s="3"/>
      <c r="X32" s="3"/>
      <c r="Y32" s="3"/>
      <c r="Z32" s="3"/>
      <c r="AA32" s="14"/>
      <c r="AB32" s="18"/>
      <c r="AC32" s="24"/>
      <c r="AD32" s="5"/>
      <c r="AE32" s="3"/>
      <c r="AF32" s="3"/>
      <c r="AG32" s="3"/>
      <c r="AH32" s="3"/>
      <c r="AI32" s="3"/>
      <c r="AJ32" s="14"/>
      <c r="AK32" s="18"/>
      <c r="AL32" s="24"/>
    </row>
    <row r="33" spans="2:38" x14ac:dyDescent="0.25">
      <c r="B33" s="5"/>
      <c r="C33" s="3"/>
      <c r="D33" s="34"/>
      <c r="E33" s="3"/>
      <c r="F33" s="3"/>
      <c r="G33" s="3"/>
      <c r="H33" s="14"/>
      <c r="I33" s="24"/>
      <c r="J33" s="5"/>
      <c r="K33" s="3"/>
      <c r="L33" s="3"/>
      <c r="M33" s="3"/>
      <c r="N33" s="3"/>
      <c r="O33" s="3"/>
      <c r="P33" s="3"/>
      <c r="Q33" s="3"/>
      <c r="R33" s="14"/>
      <c r="S33" s="18"/>
      <c r="T33" s="24"/>
      <c r="U33" s="5"/>
      <c r="V33" s="3"/>
      <c r="W33" s="3"/>
      <c r="X33" s="3"/>
      <c r="Y33" s="3"/>
      <c r="Z33" s="3"/>
      <c r="AA33" s="14"/>
      <c r="AB33" s="18"/>
      <c r="AC33" s="24"/>
      <c r="AD33" s="5"/>
      <c r="AE33" s="3"/>
      <c r="AF33" s="3"/>
      <c r="AG33" s="3"/>
      <c r="AH33" s="3"/>
      <c r="AI33" s="3"/>
      <c r="AJ33" s="14"/>
      <c r="AK33" s="18"/>
      <c r="AL33" s="24"/>
    </row>
    <row r="34" spans="2:38" x14ac:dyDescent="0.25">
      <c r="B34" s="5"/>
      <c r="C34" s="3"/>
      <c r="D34" s="34"/>
      <c r="E34" s="3"/>
      <c r="F34" s="3"/>
      <c r="G34" s="3"/>
      <c r="H34" s="14"/>
      <c r="I34" s="24"/>
      <c r="J34" s="5"/>
      <c r="K34" s="3"/>
      <c r="L34" s="3"/>
      <c r="M34" s="3"/>
      <c r="N34" s="3"/>
      <c r="O34" s="3"/>
      <c r="P34" s="3"/>
      <c r="Q34" s="3"/>
      <c r="R34" s="14"/>
      <c r="S34" s="18"/>
      <c r="T34" s="24"/>
      <c r="U34" s="5"/>
      <c r="V34" s="3"/>
      <c r="W34" s="3"/>
      <c r="X34" s="3"/>
      <c r="Y34" s="3"/>
      <c r="Z34" s="3"/>
      <c r="AA34" s="14"/>
      <c r="AB34" s="18"/>
      <c r="AC34" s="24"/>
      <c r="AD34" s="5"/>
      <c r="AE34" s="3"/>
      <c r="AF34" s="3"/>
      <c r="AG34" s="3"/>
      <c r="AH34" s="3"/>
      <c r="AI34" s="3"/>
      <c r="AJ34" s="14"/>
      <c r="AK34" s="18"/>
      <c r="AL34" s="24"/>
    </row>
    <row r="35" spans="2:38" x14ac:dyDescent="0.25">
      <c r="B35" s="5"/>
      <c r="C35" s="3"/>
      <c r="D35" s="34"/>
      <c r="E35" s="3"/>
      <c r="F35" s="3"/>
      <c r="G35" s="3"/>
      <c r="H35" s="14"/>
      <c r="I35" s="24"/>
      <c r="J35" s="5"/>
      <c r="K35" s="3"/>
      <c r="L35" s="3"/>
      <c r="M35" s="3"/>
      <c r="N35" s="3"/>
      <c r="O35" s="3"/>
      <c r="P35" s="3"/>
      <c r="Q35" s="3"/>
      <c r="R35" s="14"/>
      <c r="S35" s="18"/>
      <c r="T35" s="24"/>
      <c r="U35" s="5"/>
      <c r="V35" s="3"/>
      <c r="W35" s="3"/>
      <c r="X35" s="3"/>
      <c r="Y35" s="3"/>
      <c r="Z35" s="3"/>
      <c r="AA35" s="14"/>
      <c r="AB35" s="18"/>
      <c r="AC35" s="24"/>
      <c r="AD35" s="5"/>
      <c r="AE35" s="3"/>
      <c r="AF35" s="3"/>
      <c r="AG35" s="3"/>
      <c r="AH35" s="3"/>
      <c r="AI35" s="3"/>
      <c r="AJ35" s="14"/>
      <c r="AK35" s="18"/>
      <c r="AL35" s="24"/>
    </row>
    <row r="36" spans="2:38" x14ac:dyDescent="0.25">
      <c r="B36" s="5"/>
      <c r="C36" s="3"/>
      <c r="D36" s="34"/>
      <c r="E36" s="3"/>
      <c r="F36" s="3"/>
      <c r="G36" s="3"/>
      <c r="H36" s="14"/>
      <c r="I36" s="24"/>
      <c r="J36" s="5"/>
      <c r="K36" s="3"/>
      <c r="L36" s="3"/>
      <c r="M36" s="3"/>
      <c r="N36" s="3"/>
      <c r="O36" s="3"/>
      <c r="P36" s="3"/>
      <c r="Q36" s="3"/>
      <c r="R36" s="14"/>
      <c r="S36" s="18"/>
      <c r="T36" s="24"/>
      <c r="U36" s="5"/>
      <c r="V36" s="3"/>
      <c r="W36" s="3"/>
      <c r="X36" s="3"/>
      <c r="Y36" s="3"/>
      <c r="Z36" s="3"/>
      <c r="AA36" s="14"/>
      <c r="AB36" s="18"/>
      <c r="AC36" s="24"/>
      <c r="AD36" s="5"/>
      <c r="AE36" s="3"/>
      <c r="AF36" s="3"/>
      <c r="AG36" s="3"/>
      <c r="AH36" s="3"/>
      <c r="AI36" s="3"/>
      <c r="AJ36" s="14"/>
      <c r="AK36" s="18"/>
      <c r="AL36" s="24"/>
    </row>
    <row r="37" spans="2:38" x14ac:dyDescent="0.25">
      <c r="B37" s="5"/>
      <c r="C37" s="3"/>
      <c r="D37" s="34"/>
      <c r="E37" s="3"/>
      <c r="F37" s="3"/>
      <c r="G37" s="3"/>
      <c r="H37" s="14"/>
      <c r="I37" s="24"/>
      <c r="J37" s="5"/>
      <c r="K37" s="3"/>
      <c r="L37" s="3"/>
      <c r="M37" s="3"/>
      <c r="N37" s="3"/>
      <c r="O37" s="3"/>
      <c r="P37" s="3"/>
      <c r="Q37" s="3"/>
      <c r="R37" s="14"/>
      <c r="S37" s="18"/>
      <c r="T37" s="24"/>
      <c r="U37" s="5"/>
      <c r="V37" s="3"/>
      <c r="W37" s="3"/>
      <c r="X37" s="3"/>
      <c r="Y37" s="3"/>
      <c r="Z37" s="3"/>
      <c r="AA37" s="14"/>
      <c r="AB37" s="18"/>
      <c r="AC37" s="24"/>
      <c r="AD37" s="5"/>
      <c r="AE37" s="3"/>
      <c r="AF37" s="3"/>
      <c r="AG37" s="3"/>
      <c r="AH37" s="3"/>
      <c r="AI37" s="3"/>
      <c r="AJ37" s="14"/>
      <c r="AK37" s="18"/>
      <c r="AL37" s="24"/>
    </row>
    <row r="38" spans="2:38" x14ac:dyDescent="0.25">
      <c r="B38" s="5"/>
      <c r="C38" s="3"/>
      <c r="D38" s="34"/>
      <c r="E38" s="3"/>
      <c r="F38" s="3"/>
      <c r="G38" s="3"/>
      <c r="H38" s="14"/>
      <c r="I38" s="24"/>
      <c r="J38" s="5"/>
      <c r="K38" s="3"/>
      <c r="L38" s="3"/>
      <c r="M38" s="3"/>
      <c r="N38" s="3"/>
      <c r="O38" s="3"/>
      <c r="P38" s="3"/>
      <c r="Q38" s="3"/>
      <c r="R38" s="14"/>
      <c r="S38" s="18"/>
      <c r="T38" s="24"/>
      <c r="U38" s="5"/>
      <c r="V38" s="3"/>
      <c r="W38" s="3"/>
      <c r="X38" s="3"/>
      <c r="Y38" s="3"/>
      <c r="Z38" s="3"/>
      <c r="AA38" s="14"/>
      <c r="AB38" s="18"/>
      <c r="AC38" s="24"/>
      <c r="AD38" s="5"/>
      <c r="AE38" s="3"/>
      <c r="AF38" s="3"/>
      <c r="AG38" s="3"/>
      <c r="AH38" s="3"/>
      <c r="AI38" s="3"/>
      <c r="AJ38" s="14"/>
      <c r="AK38" s="18"/>
      <c r="AL38" s="24"/>
    </row>
    <row r="39" spans="2:38" x14ac:dyDescent="0.25">
      <c r="B39" s="5"/>
      <c r="C39" s="3"/>
      <c r="D39" s="34"/>
      <c r="E39" s="3"/>
      <c r="F39" s="3"/>
      <c r="G39" s="3"/>
      <c r="H39" s="14"/>
      <c r="I39" s="24"/>
      <c r="J39" s="5"/>
      <c r="K39" s="3"/>
      <c r="L39" s="3"/>
      <c r="M39" s="3"/>
      <c r="N39" s="3"/>
      <c r="O39" s="3"/>
      <c r="P39" s="3"/>
      <c r="Q39" s="3"/>
      <c r="R39" s="14"/>
      <c r="S39" s="18"/>
      <c r="T39" s="24"/>
      <c r="U39" s="5"/>
      <c r="V39" s="3"/>
      <c r="W39" s="3"/>
      <c r="X39" s="3"/>
      <c r="Y39" s="3"/>
      <c r="Z39" s="3"/>
      <c r="AA39" s="14"/>
      <c r="AB39" s="18"/>
      <c r="AC39" s="24"/>
      <c r="AD39" s="5"/>
      <c r="AE39" s="3"/>
      <c r="AF39" s="3"/>
      <c r="AG39" s="3"/>
      <c r="AH39" s="3"/>
      <c r="AI39" s="3"/>
      <c r="AJ39" s="14"/>
      <c r="AK39" s="18"/>
      <c r="AL39" s="24"/>
    </row>
    <row r="40" spans="2:38" x14ac:dyDescent="0.25">
      <c r="B40" s="5"/>
      <c r="C40" s="3"/>
      <c r="D40" s="34"/>
      <c r="E40" s="3"/>
      <c r="F40" s="3"/>
      <c r="G40" s="3"/>
      <c r="H40" s="14"/>
      <c r="I40" s="24"/>
      <c r="J40" s="5"/>
      <c r="K40" s="3"/>
      <c r="L40" s="3"/>
      <c r="M40" s="3"/>
      <c r="N40" s="3"/>
      <c r="O40" s="3"/>
      <c r="P40" s="3"/>
      <c r="Q40" s="3"/>
      <c r="R40" s="14"/>
      <c r="S40" s="18"/>
      <c r="T40" s="24"/>
      <c r="U40" s="5"/>
      <c r="V40" s="3"/>
      <c r="W40" s="3"/>
      <c r="X40" s="3"/>
      <c r="Y40" s="3"/>
      <c r="Z40" s="3"/>
      <c r="AA40" s="14"/>
      <c r="AB40" s="18"/>
      <c r="AC40" s="24"/>
      <c r="AD40" s="5"/>
      <c r="AE40" s="3"/>
      <c r="AF40" s="3"/>
      <c r="AG40" s="3"/>
      <c r="AH40" s="3"/>
      <c r="AI40" s="3"/>
      <c r="AJ40" s="14"/>
      <c r="AK40" s="18"/>
      <c r="AL40" s="24"/>
    </row>
    <row r="41" spans="2:38" x14ac:dyDescent="0.25">
      <c r="B41" s="5"/>
      <c r="C41" s="3"/>
      <c r="D41" s="34"/>
      <c r="E41" s="3"/>
      <c r="F41" s="3"/>
      <c r="G41" s="3"/>
      <c r="H41" s="14"/>
      <c r="I41" s="24"/>
      <c r="J41" s="5"/>
      <c r="K41" s="3"/>
      <c r="L41" s="3"/>
      <c r="M41" s="3"/>
      <c r="N41" s="3"/>
      <c r="O41" s="3"/>
      <c r="P41" s="3"/>
      <c r="Q41" s="3"/>
      <c r="R41" s="14"/>
      <c r="S41" s="18"/>
      <c r="T41" s="24"/>
      <c r="U41" s="5"/>
      <c r="V41" s="3"/>
      <c r="W41" s="3"/>
      <c r="X41" s="3"/>
      <c r="Y41" s="3"/>
      <c r="Z41" s="3"/>
      <c r="AA41" s="14"/>
      <c r="AB41" s="18"/>
      <c r="AC41" s="24"/>
      <c r="AD41" s="5"/>
      <c r="AE41" s="3"/>
      <c r="AF41" s="3"/>
      <c r="AG41" s="3"/>
      <c r="AH41" s="3"/>
      <c r="AI41" s="3"/>
      <c r="AJ41" s="14"/>
      <c r="AK41" s="18"/>
      <c r="AL41" s="24"/>
    </row>
    <row r="42" spans="2:38" x14ac:dyDescent="0.25">
      <c r="B42" s="5"/>
      <c r="C42" s="3"/>
      <c r="D42" s="34"/>
      <c r="E42" s="3"/>
      <c r="F42" s="3"/>
      <c r="G42" s="3"/>
      <c r="H42" s="14"/>
      <c r="I42" s="24"/>
      <c r="J42" s="5"/>
      <c r="K42" s="3"/>
      <c r="L42" s="3"/>
      <c r="M42" s="3"/>
      <c r="N42" s="3"/>
      <c r="O42" s="3"/>
      <c r="P42" s="3"/>
      <c r="Q42" s="3"/>
      <c r="R42" s="14"/>
      <c r="S42" s="18"/>
      <c r="T42" s="24"/>
      <c r="U42" s="5"/>
      <c r="V42" s="3"/>
      <c r="W42" s="3"/>
      <c r="X42" s="3"/>
      <c r="Y42" s="3"/>
      <c r="Z42" s="3"/>
      <c r="AA42" s="14"/>
      <c r="AB42" s="18"/>
      <c r="AC42" s="24"/>
      <c r="AD42" s="5"/>
      <c r="AE42" s="3"/>
      <c r="AF42" s="3"/>
      <c r="AG42" s="3"/>
      <c r="AH42" s="3"/>
      <c r="AI42" s="3"/>
      <c r="AJ42" s="14"/>
      <c r="AK42" s="18"/>
      <c r="AL42" s="24"/>
    </row>
    <row r="43" spans="2:38" x14ac:dyDescent="0.25">
      <c r="B43" s="5"/>
      <c r="C43" s="3"/>
      <c r="D43" s="34"/>
      <c r="E43" s="3"/>
      <c r="F43" s="3"/>
      <c r="G43" s="3"/>
      <c r="H43" s="14"/>
      <c r="I43" s="24"/>
      <c r="J43" s="5"/>
      <c r="K43" s="3"/>
      <c r="L43" s="3"/>
      <c r="M43" s="3"/>
      <c r="N43" s="3"/>
      <c r="O43" s="3"/>
      <c r="P43" s="3"/>
      <c r="Q43" s="3"/>
      <c r="R43" s="14"/>
      <c r="S43" s="18"/>
      <c r="T43" s="24"/>
      <c r="U43" s="5"/>
      <c r="V43" s="3"/>
      <c r="W43" s="3"/>
      <c r="X43" s="3"/>
      <c r="Y43" s="3"/>
      <c r="Z43" s="3"/>
      <c r="AA43" s="14"/>
      <c r="AB43" s="18"/>
      <c r="AC43" s="24"/>
      <c r="AD43" s="5"/>
      <c r="AE43" s="3"/>
      <c r="AF43" s="3"/>
      <c r="AG43" s="3"/>
      <c r="AH43" s="3"/>
      <c r="AI43" s="3"/>
      <c r="AJ43" s="14"/>
      <c r="AK43" s="18"/>
      <c r="AL43" s="24"/>
    </row>
    <row r="44" spans="2:38" x14ac:dyDescent="0.25">
      <c r="B44" s="5"/>
      <c r="C44" s="3"/>
      <c r="D44" s="34"/>
      <c r="E44" s="3"/>
      <c r="F44" s="3"/>
      <c r="G44" s="3"/>
      <c r="H44" s="14"/>
      <c r="I44" s="24"/>
      <c r="J44" s="5"/>
      <c r="K44" s="3"/>
      <c r="L44" s="3"/>
      <c r="M44" s="3"/>
      <c r="N44" s="3"/>
      <c r="O44" s="3"/>
      <c r="P44" s="3"/>
      <c r="Q44" s="3"/>
      <c r="R44" s="14"/>
      <c r="S44" s="18"/>
      <c r="T44" s="24"/>
      <c r="U44" s="5"/>
      <c r="V44" s="3"/>
      <c r="W44" s="3"/>
      <c r="X44" s="3"/>
      <c r="Y44" s="3"/>
      <c r="Z44" s="3"/>
      <c r="AA44" s="14"/>
      <c r="AB44" s="18"/>
      <c r="AC44" s="24"/>
      <c r="AD44" s="5"/>
      <c r="AE44" s="3"/>
      <c r="AF44" s="3"/>
      <c r="AG44" s="3"/>
      <c r="AH44" s="3"/>
      <c r="AI44" s="3"/>
      <c r="AJ44" s="14"/>
      <c r="AK44" s="18"/>
      <c r="AL44" s="24"/>
    </row>
    <row r="45" spans="2:38" x14ac:dyDescent="0.25">
      <c r="B45" s="5"/>
      <c r="C45" s="3"/>
      <c r="D45" s="34"/>
      <c r="E45" s="3"/>
      <c r="F45" s="3"/>
      <c r="G45" s="3"/>
      <c r="H45" s="14"/>
      <c r="I45" s="24"/>
      <c r="J45" s="5"/>
      <c r="K45" s="3"/>
      <c r="L45" s="3"/>
      <c r="M45" s="3"/>
      <c r="N45" s="3"/>
      <c r="O45" s="3"/>
      <c r="P45" s="3"/>
      <c r="Q45" s="3"/>
      <c r="R45" s="14"/>
      <c r="S45" s="18"/>
      <c r="T45" s="24"/>
      <c r="U45" s="5"/>
      <c r="V45" s="3"/>
      <c r="W45" s="3"/>
      <c r="X45" s="3"/>
      <c r="Y45" s="3"/>
      <c r="Z45" s="3"/>
      <c r="AA45" s="14"/>
      <c r="AB45" s="18"/>
      <c r="AC45" s="24"/>
      <c r="AD45" s="5"/>
      <c r="AE45" s="3"/>
      <c r="AF45" s="3"/>
      <c r="AG45" s="3"/>
      <c r="AH45" s="3"/>
      <c r="AI45" s="3"/>
      <c r="AJ45" s="14"/>
      <c r="AK45" s="18"/>
      <c r="AL45" s="24"/>
    </row>
    <row r="46" spans="2:38" x14ac:dyDescent="0.25">
      <c r="B46" s="5"/>
      <c r="C46" s="3"/>
      <c r="D46" s="34"/>
      <c r="E46" s="3"/>
      <c r="F46" s="3"/>
      <c r="G46" s="3"/>
      <c r="H46" s="14"/>
      <c r="I46" s="24"/>
      <c r="J46" s="5"/>
      <c r="K46" s="3"/>
      <c r="L46" s="3"/>
      <c r="M46" s="3"/>
      <c r="N46" s="3"/>
      <c r="O46" s="3"/>
      <c r="P46" s="3"/>
      <c r="Q46" s="3"/>
      <c r="R46" s="14"/>
      <c r="S46" s="18"/>
      <c r="T46" s="24"/>
      <c r="U46" s="5"/>
      <c r="V46" s="3"/>
      <c r="W46" s="3"/>
      <c r="X46" s="3"/>
      <c r="Y46" s="3"/>
      <c r="Z46" s="3"/>
      <c r="AA46" s="14"/>
      <c r="AB46" s="18"/>
      <c r="AC46" s="24"/>
      <c r="AD46" s="5"/>
      <c r="AE46" s="3"/>
      <c r="AF46" s="3"/>
      <c r="AG46" s="3"/>
      <c r="AH46" s="3"/>
      <c r="AI46" s="3"/>
      <c r="AJ46" s="14"/>
      <c r="AK46" s="18"/>
      <c r="AL46" s="24"/>
    </row>
    <row r="47" spans="2:38" x14ac:dyDescent="0.25">
      <c r="B47" s="5"/>
      <c r="C47" s="3"/>
      <c r="D47" s="34"/>
      <c r="E47" s="3"/>
      <c r="F47" s="3"/>
      <c r="G47" s="3"/>
      <c r="H47" s="14"/>
      <c r="I47" s="24"/>
      <c r="J47" s="5"/>
      <c r="K47" s="3"/>
      <c r="L47" s="3"/>
      <c r="M47" s="3"/>
      <c r="N47" s="3"/>
      <c r="O47" s="3"/>
      <c r="P47" s="3"/>
      <c r="Q47" s="3"/>
      <c r="R47" s="14"/>
      <c r="S47" s="18"/>
      <c r="T47" s="24"/>
      <c r="U47" s="5"/>
      <c r="V47" s="3"/>
      <c r="W47" s="3"/>
      <c r="X47" s="3"/>
      <c r="Y47" s="3"/>
      <c r="Z47" s="3"/>
      <c r="AA47" s="14"/>
      <c r="AB47" s="18"/>
      <c r="AC47" s="24"/>
      <c r="AD47" s="5"/>
      <c r="AE47" s="3"/>
      <c r="AF47" s="3"/>
      <c r="AG47" s="3"/>
      <c r="AH47" s="3"/>
      <c r="AI47" s="3"/>
      <c r="AJ47" s="14"/>
      <c r="AK47" s="18"/>
      <c r="AL47" s="24"/>
    </row>
    <row r="48" spans="2:38" x14ac:dyDescent="0.25">
      <c r="B48" s="5"/>
      <c r="C48" s="3"/>
      <c r="D48" s="34"/>
      <c r="E48" s="3"/>
      <c r="F48" s="3"/>
      <c r="G48" s="3"/>
      <c r="H48" s="14"/>
      <c r="I48" s="24"/>
      <c r="J48" s="5"/>
      <c r="K48" s="3"/>
      <c r="L48" s="3"/>
      <c r="M48" s="3"/>
      <c r="N48" s="3"/>
      <c r="O48" s="3"/>
      <c r="P48" s="3"/>
      <c r="Q48" s="3"/>
      <c r="R48" s="14"/>
      <c r="S48" s="18"/>
      <c r="T48" s="24"/>
      <c r="U48" s="5"/>
      <c r="V48" s="3"/>
      <c r="W48" s="3"/>
      <c r="X48" s="3"/>
      <c r="Y48" s="3"/>
      <c r="Z48" s="3"/>
      <c r="AA48" s="14"/>
      <c r="AB48" s="18"/>
      <c r="AC48" s="24"/>
      <c r="AD48" s="5"/>
      <c r="AE48" s="3"/>
      <c r="AF48" s="3"/>
      <c r="AG48" s="3"/>
      <c r="AH48" s="3"/>
      <c r="AI48" s="3"/>
      <c r="AJ48" s="14"/>
      <c r="AK48" s="18"/>
      <c r="AL48" s="24"/>
    </row>
    <row r="49" spans="2:38" x14ac:dyDescent="0.25">
      <c r="B49" s="5"/>
      <c r="C49" s="3"/>
      <c r="D49" s="34"/>
      <c r="E49" s="3"/>
      <c r="F49" s="3"/>
      <c r="G49" s="3"/>
      <c r="H49" s="14"/>
      <c r="I49" s="24"/>
      <c r="J49" s="5"/>
      <c r="K49" s="3"/>
      <c r="L49" s="3"/>
      <c r="M49" s="3"/>
      <c r="N49" s="3"/>
      <c r="O49" s="3"/>
      <c r="P49" s="3"/>
      <c r="Q49" s="3"/>
      <c r="R49" s="14"/>
      <c r="S49" s="18"/>
      <c r="T49" s="24"/>
      <c r="U49" s="5"/>
      <c r="V49" s="3"/>
      <c r="W49" s="3"/>
      <c r="X49" s="3"/>
      <c r="Y49" s="3"/>
      <c r="Z49" s="3"/>
      <c r="AA49" s="14"/>
      <c r="AB49" s="18"/>
      <c r="AC49" s="24"/>
      <c r="AD49" s="5"/>
      <c r="AE49" s="3"/>
      <c r="AF49" s="3"/>
      <c r="AG49" s="3"/>
      <c r="AH49" s="3"/>
      <c r="AI49" s="3"/>
      <c r="AJ49" s="14"/>
      <c r="AK49" s="18"/>
      <c r="AL49" s="24"/>
    </row>
    <row r="50" spans="2:38" x14ac:dyDescent="0.25">
      <c r="B50" s="5"/>
      <c r="C50" s="3"/>
      <c r="D50" s="34"/>
      <c r="E50" s="3"/>
      <c r="F50" s="3"/>
      <c r="G50" s="3"/>
      <c r="H50" s="14"/>
      <c r="I50" s="24"/>
      <c r="J50" s="5"/>
      <c r="K50" s="3"/>
      <c r="L50" s="3"/>
      <c r="M50" s="3"/>
      <c r="N50" s="3"/>
      <c r="O50" s="3"/>
      <c r="P50" s="3"/>
      <c r="Q50" s="3"/>
      <c r="R50" s="14"/>
      <c r="S50" s="18"/>
      <c r="T50" s="24"/>
      <c r="U50" s="5"/>
      <c r="V50" s="3"/>
      <c r="W50" s="3"/>
      <c r="X50" s="3"/>
      <c r="Y50" s="3"/>
      <c r="Z50" s="3"/>
      <c r="AA50" s="14"/>
      <c r="AB50" s="18"/>
      <c r="AC50" s="24"/>
      <c r="AD50" s="5"/>
      <c r="AE50" s="3"/>
      <c r="AF50" s="3"/>
      <c r="AG50" s="3"/>
      <c r="AH50" s="3"/>
      <c r="AI50" s="3"/>
      <c r="AJ50" s="14"/>
      <c r="AK50" s="18"/>
      <c r="AL50" s="24"/>
    </row>
    <row r="51" spans="2:38" x14ac:dyDescent="0.25">
      <c r="B51" s="5"/>
      <c r="C51" s="3"/>
      <c r="D51" s="34"/>
      <c r="E51" s="3"/>
      <c r="F51" s="3"/>
      <c r="G51" s="3"/>
      <c r="H51" s="14"/>
      <c r="I51" s="24"/>
      <c r="J51" s="5"/>
      <c r="K51" s="3"/>
      <c r="L51" s="3"/>
      <c r="M51" s="3"/>
      <c r="N51" s="3"/>
      <c r="O51" s="3"/>
      <c r="P51" s="3"/>
      <c r="Q51" s="3"/>
      <c r="R51" s="14"/>
      <c r="S51" s="18"/>
      <c r="T51" s="24"/>
      <c r="U51" s="5"/>
      <c r="V51" s="3"/>
      <c r="W51" s="3"/>
      <c r="X51" s="3"/>
      <c r="Y51" s="3"/>
      <c r="Z51" s="3"/>
      <c r="AA51" s="14"/>
      <c r="AB51" s="18"/>
      <c r="AC51" s="24"/>
      <c r="AD51" s="5"/>
      <c r="AE51" s="3"/>
      <c r="AF51" s="3"/>
      <c r="AG51" s="3"/>
      <c r="AH51" s="3"/>
      <c r="AI51" s="3"/>
      <c r="AJ51" s="14"/>
      <c r="AK51" s="18"/>
      <c r="AL51" s="24"/>
    </row>
    <row r="52" spans="2:38" x14ac:dyDescent="0.25">
      <c r="B52" s="5"/>
      <c r="C52" s="3"/>
      <c r="D52" s="34"/>
      <c r="E52" s="3"/>
      <c r="F52" s="3"/>
      <c r="G52" s="3"/>
      <c r="H52" s="14"/>
      <c r="I52" s="24"/>
      <c r="J52" s="5"/>
      <c r="K52" s="3"/>
      <c r="L52" s="3"/>
      <c r="M52" s="3"/>
      <c r="N52" s="3"/>
      <c r="O52" s="3"/>
      <c r="P52" s="3"/>
      <c r="Q52" s="3"/>
      <c r="R52" s="14"/>
      <c r="S52" s="18"/>
      <c r="T52" s="24"/>
      <c r="U52" s="5"/>
      <c r="V52" s="3"/>
      <c r="W52" s="3"/>
      <c r="X52" s="3"/>
      <c r="Y52" s="3"/>
      <c r="Z52" s="3"/>
      <c r="AA52" s="14"/>
      <c r="AB52" s="18"/>
      <c r="AC52" s="24"/>
      <c r="AD52" s="5"/>
      <c r="AE52" s="3"/>
      <c r="AF52" s="3"/>
      <c r="AG52" s="3"/>
      <c r="AH52" s="3"/>
      <c r="AI52" s="3"/>
      <c r="AJ52" s="14"/>
      <c r="AK52" s="18"/>
      <c r="AL52" s="24"/>
    </row>
    <row r="53" spans="2:38" x14ac:dyDescent="0.25">
      <c r="B53" s="5"/>
      <c r="C53" s="3"/>
      <c r="D53" s="34"/>
      <c r="E53" s="3"/>
      <c r="F53" s="3"/>
      <c r="G53" s="3"/>
      <c r="H53" s="14"/>
      <c r="I53" s="24"/>
      <c r="J53" s="5"/>
      <c r="K53" s="3"/>
      <c r="L53" s="3"/>
      <c r="M53" s="3"/>
      <c r="N53" s="3"/>
      <c r="O53" s="3"/>
      <c r="P53" s="3"/>
      <c r="Q53" s="3"/>
      <c r="R53" s="14"/>
      <c r="S53" s="18"/>
      <c r="T53" s="24"/>
      <c r="U53" s="5"/>
      <c r="V53" s="3"/>
      <c r="W53" s="3"/>
      <c r="X53" s="3"/>
      <c r="Y53" s="3"/>
      <c r="Z53" s="3"/>
      <c r="AA53" s="14"/>
      <c r="AB53" s="18"/>
      <c r="AC53" s="24"/>
      <c r="AD53" s="5"/>
      <c r="AE53" s="3"/>
      <c r="AF53" s="3"/>
      <c r="AG53" s="3"/>
      <c r="AH53" s="3"/>
      <c r="AI53" s="3"/>
      <c r="AJ53" s="14"/>
      <c r="AK53" s="18"/>
      <c r="AL53" s="24"/>
    </row>
    <row r="54" spans="2:38" x14ac:dyDescent="0.25">
      <c r="B54" s="5"/>
      <c r="C54" s="3"/>
      <c r="D54" s="34"/>
      <c r="E54" s="3"/>
      <c r="F54" s="3"/>
      <c r="G54" s="3"/>
      <c r="H54" s="14"/>
      <c r="I54" s="24"/>
      <c r="J54" s="5"/>
      <c r="K54" s="3"/>
      <c r="L54" s="3"/>
      <c r="M54" s="3"/>
      <c r="N54" s="3"/>
      <c r="O54" s="3"/>
      <c r="P54" s="3"/>
      <c r="Q54" s="3"/>
      <c r="R54" s="14"/>
      <c r="S54" s="18"/>
      <c r="T54" s="24"/>
      <c r="U54" s="5"/>
      <c r="V54" s="3"/>
      <c r="W54" s="3"/>
      <c r="X54" s="3"/>
      <c r="Y54" s="3"/>
      <c r="Z54" s="3"/>
      <c r="AA54" s="14"/>
      <c r="AB54" s="18"/>
      <c r="AC54" s="24"/>
      <c r="AD54" s="5"/>
      <c r="AE54" s="3"/>
      <c r="AF54" s="3"/>
      <c r="AG54" s="3"/>
      <c r="AH54" s="3"/>
      <c r="AI54" s="3"/>
      <c r="AJ54" s="14"/>
      <c r="AK54" s="18"/>
      <c r="AL54" s="24"/>
    </row>
    <row r="55" spans="2:38" x14ac:dyDescent="0.25">
      <c r="B55" s="5"/>
      <c r="C55" s="3"/>
      <c r="D55" s="34"/>
      <c r="E55" s="3"/>
      <c r="F55" s="3"/>
      <c r="G55" s="3"/>
      <c r="H55" s="14"/>
      <c r="I55" s="24"/>
      <c r="J55" s="5"/>
      <c r="K55" s="3"/>
      <c r="L55" s="3"/>
      <c r="M55" s="3"/>
      <c r="N55" s="3"/>
      <c r="O55" s="3"/>
      <c r="P55" s="3"/>
      <c r="Q55" s="3"/>
      <c r="R55" s="14"/>
      <c r="S55" s="18"/>
      <c r="T55" s="24"/>
      <c r="U55" s="5"/>
      <c r="V55" s="3"/>
      <c r="W55" s="3"/>
      <c r="X55" s="3"/>
      <c r="Y55" s="3"/>
      <c r="Z55" s="3"/>
      <c r="AA55" s="14"/>
      <c r="AB55" s="18"/>
      <c r="AC55" s="24"/>
      <c r="AD55" s="5"/>
      <c r="AE55" s="3"/>
      <c r="AF55" s="3"/>
      <c r="AG55" s="3"/>
      <c r="AH55" s="3"/>
      <c r="AI55" s="3"/>
      <c r="AJ55" s="14"/>
      <c r="AK55" s="18"/>
      <c r="AL55" s="24"/>
    </row>
    <row r="56" spans="2:38" x14ac:dyDescent="0.25">
      <c r="B56" s="5"/>
      <c r="C56" s="3"/>
      <c r="D56" s="34"/>
      <c r="E56" s="3"/>
      <c r="F56" s="3"/>
      <c r="G56" s="3"/>
      <c r="H56" s="14"/>
      <c r="I56" s="24"/>
      <c r="J56" s="5"/>
      <c r="K56" s="3"/>
      <c r="L56" s="3"/>
      <c r="M56" s="3"/>
      <c r="N56" s="3"/>
      <c r="O56" s="3"/>
      <c r="P56" s="3"/>
      <c r="Q56" s="3"/>
      <c r="R56" s="14"/>
      <c r="S56" s="18"/>
      <c r="T56" s="24"/>
      <c r="U56" s="5"/>
      <c r="V56" s="3"/>
      <c r="W56" s="3"/>
      <c r="X56" s="3"/>
      <c r="Y56" s="3"/>
      <c r="Z56" s="3"/>
      <c r="AA56" s="14"/>
      <c r="AB56" s="18"/>
      <c r="AC56" s="24"/>
      <c r="AD56" s="5"/>
      <c r="AE56" s="3"/>
      <c r="AF56" s="3"/>
      <c r="AG56" s="3"/>
      <c r="AH56" s="3"/>
      <c r="AI56" s="3"/>
      <c r="AJ56" s="14"/>
      <c r="AK56" s="18"/>
      <c r="AL56" s="24"/>
    </row>
    <row r="57" spans="2:38" x14ac:dyDescent="0.25">
      <c r="B57" s="5"/>
      <c r="C57" s="3"/>
      <c r="D57" s="34"/>
      <c r="E57" s="3"/>
      <c r="F57" s="3"/>
      <c r="G57" s="3"/>
      <c r="H57" s="14"/>
      <c r="I57" s="24"/>
      <c r="J57" s="5"/>
      <c r="K57" s="3"/>
      <c r="L57" s="3"/>
      <c r="M57" s="3"/>
      <c r="N57" s="3"/>
      <c r="O57" s="3"/>
      <c r="P57" s="3"/>
      <c r="Q57" s="3"/>
      <c r="R57" s="14"/>
      <c r="S57" s="18"/>
      <c r="T57" s="24"/>
      <c r="U57" s="5"/>
      <c r="V57" s="3"/>
      <c r="W57" s="3"/>
      <c r="X57" s="3"/>
      <c r="Y57" s="3"/>
      <c r="Z57" s="3"/>
      <c r="AA57" s="14"/>
      <c r="AB57" s="18"/>
      <c r="AC57" s="24"/>
      <c r="AD57" s="5"/>
      <c r="AE57" s="3"/>
      <c r="AF57" s="3"/>
      <c r="AG57" s="3"/>
      <c r="AH57" s="3"/>
      <c r="AI57" s="3"/>
      <c r="AJ57" s="14"/>
      <c r="AK57" s="18"/>
      <c r="AL57" s="24"/>
    </row>
    <row r="58" spans="2:38" x14ac:dyDescent="0.25">
      <c r="B58" s="5"/>
      <c r="C58" s="3"/>
      <c r="D58" s="34"/>
      <c r="E58" s="3"/>
      <c r="F58" s="3"/>
      <c r="G58" s="3"/>
      <c r="H58" s="14"/>
      <c r="I58" s="24"/>
      <c r="J58" s="5"/>
      <c r="K58" s="3"/>
      <c r="L58" s="3"/>
      <c r="M58" s="3"/>
      <c r="N58" s="3"/>
      <c r="O58" s="3"/>
      <c r="P58" s="3"/>
      <c r="Q58" s="3"/>
      <c r="R58" s="14"/>
      <c r="S58" s="18"/>
      <c r="T58" s="24"/>
      <c r="U58" s="5"/>
      <c r="V58" s="3"/>
      <c r="W58" s="3"/>
      <c r="X58" s="3"/>
      <c r="Y58" s="3"/>
      <c r="Z58" s="3"/>
      <c r="AA58" s="14"/>
      <c r="AB58" s="18"/>
      <c r="AC58" s="24"/>
      <c r="AD58" s="5"/>
      <c r="AE58" s="3"/>
      <c r="AF58" s="3"/>
      <c r="AG58" s="3"/>
      <c r="AH58" s="3"/>
      <c r="AI58" s="3"/>
      <c r="AJ58" s="14"/>
      <c r="AK58" s="18"/>
      <c r="AL58" s="24"/>
    </row>
    <row r="59" spans="2:38" x14ac:dyDescent="0.25">
      <c r="B59" s="5"/>
      <c r="C59" s="3"/>
      <c r="D59" s="34"/>
      <c r="E59" s="3"/>
      <c r="F59" s="3"/>
      <c r="G59" s="3"/>
      <c r="H59" s="14"/>
      <c r="I59" s="24"/>
      <c r="J59" s="5"/>
      <c r="K59" s="3"/>
      <c r="L59" s="3"/>
      <c r="M59" s="3"/>
      <c r="N59" s="3"/>
      <c r="O59" s="3"/>
      <c r="P59" s="3"/>
      <c r="Q59" s="3"/>
      <c r="R59" s="14"/>
      <c r="S59" s="18"/>
      <c r="T59" s="24"/>
      <c r="U59" s="5"/>
      <c r="V59" s="3"/>
      <c r="W59" s="3"/>
      <c r="X59" s="3"/>
      <c r="Y59" s="3"/>
      <c r="Z59" s="3"/>
      <c r="AA59" s="14"/>
      <c r="AB59" s="18"/>
      <c r="AC59" s="24"/>
      <c r="AD59" s="5"/>
      <c r="AE59" s="3"/>
      <c r="AF59" s="3"/>
      <c r="AG59" s="3"/>
      <c r="AH59" s="3"/>
      <c r="AI59" s="3"/>
      <c r="AJ59" s="14"/>
      <c r="AK59" s="18"/>
      <c r="AL59" s="24"/>
    </row>
    <row r="60" spans="2:38" x14ac:dyDescent="0.25">
      <c r="B60" s="5"/>
      <c r="C60" s="3"/>
      <c r="D60" s="34"/>
      <c r="E60" s="3"/>
      <c r="F60" s="3"/>
      <c r="G60" s="3"/>
      <c r="H60" s="14"/>
      <c r="I60" s="24"/>
      <c r="J60" s="5"/>
      <c r="K60" s="3"/>
      <c r="L60" s="3"/>
      <c r="M60" s="3"/>
      <c r="N60" s="3"/>
      <c r="O60" s="3"/>
      <c r="P60" s="3"/>
      <c r="Q60" s="3"/>
      <c r="R60" s="14"/>
      <c r="S60" s="18"/>
      <c r="T60" s="24"/>
      <c r="U60" s="5"/>
      <c r="V60" s="3"/>
      <c r="W60" s="3"/>
      <c r="X60" s="3"/>
      <c r="Y60" s="3"/>
      <c r="Z60" s="3"/>
      <c r="AA60" s="14"/>
      <c r="AB60" s="18"/>
      <c r="AC60" s="24"/>
      <c r="AD60" s="5"/>
      <c r="AE60" s="3"/>
      <c r="AF60" s="3"/>
      <c r="AG60" s="3"/>
      <c r="AH60" s="3"/>
      <c r="AI60" s="3"/>
      <c r="AJ60" s="14"/>
      <c r="AK60" s="18"/>
      <c r="AL60" s="24"/>
    </row>
    <row r="61" spans="2:38" x14ac:dyDescent="0.25">
      <c r="B61" s="5"/>
      <c r="C61" s="3"/>
      <c r="D61" s="34"/>
      <c r="E61" s="3"/>
      <c r="F61" s="3"/>
      <c r="G61" s="3"/>
      <c r="H61" s="14"/>
      <c r="I61" s="24"/>
      <c r="J61" s="5"/>
      <c r="K61" s="3"/>
      <c r="L61" s="3"/>
      <c r="M61" s="3"/>
      <c r="N61" s="3"/>
      <c r="O61" s="3"/>
      <c r="P61" s="3"/>
      <c r="Q61" s="3"/>
      <c r="R61" s="14"/>
      <c r="S61" s="18"/>
      <c r="T61" s="24"/>
      <c r="U61" s="5"/>
      <c r="V61" s="3"/>
      <c r="W61" s="3"/>
      <c r="X61" s="3"/>
      <c r="Y61" s="3"/>
      <c r="Z61" s="3"/>
      <c r="AA61" s="14"/>
      <c r="AB61" s="18"/>
      <c r="AC61" s="24"/>
      <c r="AD61" s="5"/>
      <c r="AE61" s="3"/>
      <c r="AF61" s="3"/>
      <c r="AG61" s="3"/>
      <c r="AH61" s="3"/>
      <c r="AI61" s="3"/>
      <c r="AJ61" s="14"/>
      <c r="AK61" s="18"/>
      <c r="AL61" s="24"/>
    </row>
    <row r="62" spans="2:38" x14ac:dyDescent="0.25">
      <c r="B62" s="5"/>
      <c r="C62" s="3"/>
      <c r="D62" s="34"/>
      <c r="E62" s="3"/>
      <c r="F62" s="3"/>
      <c r="G62" s="3"/>
      <c r="H62" s="14"/>
      <c r="I62" s="24"/>
      <c r="J62" s="5"/>
      <c r="K62" s="3"/>
      <c r="L62" s="3"/>
      <c r="M62" s="3"/>
      <c r="N62" s="3"/>
      <c r="O62" s="3"/>
      <c r="P62" s="3"/>
      <c r="Q62" s="3"/>
      <c r="R62" s="14"/>
      <c r="S62" s="18"/>
      <c r="T62" s="24"/>
      <c r="U62" s="5"/>
      <c r="V62" s="3"/>
      <c r="W62" s="3"/>
      <c r="X62" s="3"/>
      <c r="Y62" s="3"/>
      <c r="Z62" s="3"/>
      <c r="AA62" s="14"/>
      <c r="AB62" s="18"/>
      <c r="AC62" s="24"/>
      <c r="AD62" s="5"/>
      <c r="AE62" s="3"/>
      <c r="AF62" s="3"/>
      <c r="AG62" s="3"/>
      <c r="AH62" s="3"/>
      <c r="AI62" s="3"/>
      <c r="AJ62" s="14"/>
      <c r="AK62" s="18"/>
      <c r="AL62" s="24"/>
    </row>
    <row r="63" spans="2:38" x14ac:dyDescent="0.25">
      <c r="B63" s="5"/>
      <c r="C63" s="3"/>
      <c r="D63" s="34"/>
      <c r="E63" s="3"/>
      <c r="F63" s="3"/>
      <c r="G63" s="3"/>
      <c r="H63" s="14"/>
      <c r="I63" s="24"/>
      <c r="J63" s="5"/>
      <c r="K63" s="3"/>
      <c r="L63" s="3"/>
      <c r="M63" s="3"/>
      <c r="N63" s="3"/>
      <c r="O63" s="3"/>
      <c r="P63" s="3"/>
      <c r="Q63" s="3"/>
      <c r="R63" s="14"/>
      <c r="S63" s="18"/>
      <c r="T63" s="24"/>
      <c r="U63" s="5"/>
      <c r="V63" s="3"/>
      <c r="W63" s="3"/>
      <c r="X63" s="3"/>
      <c r="Y63" s="3"/>
      <c r="Z63" s="3"/>
      <c r="AA63" s="14"/>
      <c r="AB63" s="18"/>
      <c r="AC63" s="24"/>
      <c r="AD63" s="5"/>
      <c r="AE63" s="3"/>
      <c r="AF63" s="3"/>
      <c r="AG63" s="3"/>
      <c r="AH63" s="3"/>
      <c r="AI63" s="3"/>
      <c r="AJ63" s="14"/>
      <c r="AK63" s="18"/>
      <c r="AL63" s="24"/>
    </row>
    <row r="64" spans="2:38" x14ac:dyDescent="0.25">
      <c r="B64" s="5"/>
      <c r="C64" s="3"/>
      <c r="D64" s="34"/>
      <c r="E64" s="3"/>
      <c r="F64" s="3"/>
      <c r="G64" s="3"/>
      <c r="H64" s="14"/>
      <c r="I64" s="24"/>
      <c r="J64" s="5"/>
      <c r="K64" s="3"/>
      <c r="L64" s="3"/>
      <c r="M64" s="3"/>
      <c r="N64" s="3"/>
      <c r="O64" s="3"/>
      <c r="P64" s="3"/>
      <c r="Q64" s="3"/>
      <c r="R64" s="14"/>
      <c r="S64" s="18"/>
      <c r="T64" s="24"/>
      <c r="U64" s="5"/>
      <c r="V64" s="3"/>
      <c r="W64" s="3"/>
      <c r="X64" s="3"/>
      <c r="Y64" s="3"/>
      <c r="Z64" s="3"/>
      <c r="AA64" s="14"/>
      <c r="AB64" s="18"/>
      <c r="AC64" s="24"/>
      <c r="AD64" s="5"/>
      <c r="AE64" s="3"/>
      <c r="AF64" s="3"/>
      <c r="AG64" s="3"/>
      <c r="AH64" s="3"/>
      <c r="AI64" s="3"/>
      <c r="AJ64" s="14"/>
      <c r="AK64" s="18"/>
      <c r="AL64" s="24"/>
    </row>
    <row r="65" spans="2:47" x14ac:dyDescent="0.25">
      <c r="B65" s="5"/>
      <c r="C65" s="3"/>
      <c r="D65" s="34"/>
      <c r="E65" s="3"/>
      <c r="F65" s="3"/>
      <c r="G65" s="3"/>
      <c r="H65" s="14"/>
      <c r="I65" s="24"/>
      <c r="J65" s="5"/>
      <c r="K65" s="3"/>
      <c r="L65" s="3"/>
      <c r="M65" s="3"/>
      <c r="N65" s="3"/>
      <c r="O65" s="3"/>
      <c r="P65" s="3"/>
      <c r="Q65" s="3"/>
      <c r="R65" s="14"/>
      <c r="S65" s="18"/>
      <c r="T65" s="24"/>
      <c r="U65" s="5"/>
      <c r="V65" s="3"/>
      <c r="W65" s="3"/>
      <c r="X65" s="3"/>
      <c r="Y65" s="3"/>
      <c r="Z65" s="3"/>
      <c r="AA65" s="14"/>
      <c r="AB65" s="18"/>
      <c r="AC65" s="24"/>
      <c r="AD65" s="5"/>
      <c r="AE65" s="3"/>
      <c r="AF65" s="3"/>
      <c r="AG65" s="3"/>
      <c r="AH65" s="3"/>
      <c r="AI65" s="3"/>
      <c r="AJ65" s="14"/>
      <c r="AK65" s="18"/>
      <c r="AL65" s="24"/>
    </row>
    <row r="66" spans="2:47" x14ac:dyDescent="0.25">
      <c r="B66" s="5"/>
      <c r="C66" s="3"/>
      <c r="D66" s="34"/>
      <c r="E66" s="3"/>
      <c r="F66" s="3"/>
      <c r="G66" s="3"/>
      <c r="H66" s="14"/>
      <c r="I66" s="24"/>
      <c r="J66" s="5"/>
      <c r="K66" s="3"/>
      <c r="L66" s="3"/>
      <c r="M66" s="3"/>
      <c r="N66" s="3"/>
      <c r="O66" s="3"/>
      <c r="P66" s="3"/>
      <c r="Q66" s="3"/>
      <c r="R66" s="14"/>
      <c r="S66" s="18"/>
      <c r="T66" s="24"/>
      <c r="U66" s="5"/>
      <c r="V66" s="3"/>
      <c r="W66" s="3"/>
      <c r="X66" s="3"/>
      <c r="Y66" s="3"/>
      <c r="Z66" s="3"/>
      <c r="AA66" s="14"/>
      <c r="AB66" s="18"/>
      <c r="AC66" s="24"/>
      <c r="AD66" s="5"/>
      <c r="AE66" s="3"/>
      <c r="AF66" s="3"/>
      <c r="AG66" s="3"/>
      <c r="AH66" s="3"/>
      <c r="AI66" s="3"/>
      <c r="AJ66" s="14"/>
      <c r="AK66" s="18"/>
      <c r="AL66" s="24"/>
    </row>
    <row r="67" spans="2:47" x14ac:dyDescent="0.25">
      <c r="B67" s="5"/>
      <c r="C67" s="3"/>
      <c r="D67" s="34"/>
      <c r="E67" s="3"/>
      <c r="F67" s="3"/>
      <c r="G67" s="3"/>
      <c r="H67" s="14"/>
      <c r="I67" s="24"/>
      <c r="J67" s="5"/>
      <c r="K67" s="3"/>
      <c r="L67" s="3"/>
      <c r="M67" s="3"/>
      <c r="N67" s="3"/>
      <c r="O67" s="3"/>
      <c r="P67" s="3"/>
      <c r="Q67" s="3"/>
      <c r="R67" s="14"/>
      <c r="S67" s="18"/>
      <c r="T67" s="24"/>
      <c r="U67" s="5"/>
      <c r="V67" s="3"/>
      <c r="W67" s="3"/>
      <c r="X67" s="3"/>
      <c r="Y67" s="3"/>
      <c r="Z67" s="3"/>
      <c r="AA67" s="14"/>
      <c r="AB67" s="18"/>
      <c r="AC67" s="24"/>
      <c r="AD67" s="5"/>
      <c r="AE67" s="3"/>
      <c r="AF67" s="3"/>
      <c r="AG67" s="3"/>
      <c r="AH67" s="3"/>
      <c r="AI67" s="3"/>
      <c r="AJ67" s="14"/>
      <c r="AK67" s="18"/>
      <c r="AL67" s="24"/>
    </row>
    <row r="68" spans="2:47" x14ac:dyDescent="0.25">
      <c r="B68" s="5"/>
      <c r="C68" s="3"/>
      <c r="D68" s="34"/>
      <c r="E68" s="3"/>
      <c r="F68" s="3"/>
      <c r="G68" s="3"/>
      <c r="H68" s="14"/>
      <c r="I68" s="24"/>
      <c r="J68" s="5"/>
      <c r="K68" s="3"/>
      <c r="L68" s="3"/>
      <c r="M68" s="3"/>
      <c r="N68" s="3"/>
      <c r="O68" s="3"/>
      <c r="P68" s="3"/>
      <c r="Q68" s="3"/>
      <c r="R68" s="14"/>
      <c r="S68" s="18"/>
      <c r="T68" s="24"/>
      <c r="U68" s="5"/>
      <c r="V68" s="3"/>
      <c r="W68" s="3"/>
      <c r="X68" s="3"/>
      <c r="Y68" s="3"/>
      <c r="Z68" s="3"/>
      <c r="AA68" s="14"/>
      <c r="AB68" s="18"/>
      <c r="AC68" s="24"/>
      <c r="AD68" s="5"/>
      <c r="AE68" s="3"/>
      <c r="AF68" s="3"/>
      <c r="AG68" s="3"/>
      <c r="AH68" s="3"/>
      <c r="AI68" s="3"/>
      <c r="AJ68" s="14"/>
      <c r="AK68" s="18"/>
      <c r="AL68" s="24"/>
    </row>
    <row r="69" spans="2:47" x14ac:dyDescent="0.25">
      <c r="B69" s="5"/>
      <c r="C69" s="3"/>
      <c r="D69" s="34"/>
      <c r="E69" s="3"/>
      <c r="F69" s="3"/>
      <c r="G69" s="3"/>
      <c r="H69" s="14"/>
      <c r="I69" s="24"/>
      <c r="J69" s="5"/>
      <c r="K69" s="3"/>
      <c r="L69" s="3"/>
      <c r="M69" s="3"/>
      <c r="N69" s="3"/>
      <c r="O69" s="3"/>
      <c r="P69" s="3"/>
      <c r="Q69" s="3"/>
      <c r="R69" s="14"/>
      <c r="S69" s="18"/>
      <c r="T69" s="24"/>
      <c r="U69" s="5"/>
      <c r="V69" s="3"/>
      <c r="W69" s="3"/>
      <c r="X69" s="3"/>
      <c r="Y69" s="3"/>
      <c r="Z69" s="3"/>
      <c r="AA69" s="3"/>
      <c r="AB69" s="27"/>
      <c r="AC69" s="24"/>
      <c r="AD69" s="5"/>
      <c r="AE69" s="3"/>
      <c r="AF69" s="3"/>
      <c r="AG69" s="3"/>
      <c r="AH69" s="3"/>
      <c r="AI69" s="3"/>
      <c r="AJ69" s="14"/>
      <c r="AK69" s="18"/>
      <c r="AL69" s="24"/>
    </row>
    <row r="70" spans="2:47" ht="15" thickBot="1" x14ac:dyDescent="0.3">
      <c r="B70" s="5"/>
      <c r="C70" s="3"/>
      <c r="D70" s="34"/>
      <c r="E70" s="3"/>
      <c r="F70" s="3"/>
      <c r="G70" s="3"/>
      <c r="H70" s="14"/>
      <c r="I70" s="24"/>
      <c r="J70" s="5"/>
      <c r="K70" s="3"/>
      <c r="L70" s="3"/>
      <c r="M70" s="3"/>
      <c r="N70" s="3"/>
      <c r="O70" s="3"/>
      <c r="P70" s="3"/>
      <c r="Q70" s="3"/>
      <c r="R70" s="14"/>
      <c r="S70" s="18"/>
      <c r="T70" s="24"/>
      <c r="U70" s="5"/>
      <c r="V70" s="3"/>
      <c r="W70" s="3"/>
      <c r="X70" s="3"/>
      <c r="Y70" s="3"/>
      <c r="Z70" s="3"/>
      <c r="AA70" s="3"/>
      <c r="AB70" s="27"/>
      <c r="AC70" s="24"/>
      <c r="AD70" s="5"/>
      <c r="AE70" s="3"/>
      <c r="AF70" s="3"/>
      <c r="AG70" s="3"/>
      <c r="AH70" s="3"/>
      <c r="AI70" s="3"/>
      <c r="AJ70" s="14"/>
      <c r="AK70" s="18"/>
      <c r="AL70" s="25"/>
      <c r="AM70" s="8"/>
      <c r="AN70" s="8"/>
      <c r="AO70" s="8"/>
      <c r="AP70" s="8"/>
      <c r="AQ70" s="8"/>
      <c r="AR70" s="8"/>
      <c r="AS70" s="8"/>
      <c r="AT70" s="8"/>
      <c r="AU70" s="8"/>
    </row>
    <row r="71" spans="2:47" ht="15" thickTop="1" x14ac:dyDescent="0.25">
      <c r="B71" s="35"/>
      <c r="C71" s="2"/>
      <c r="D71" s="36"/>
      <c r="E71" s="2"/>
      <c r="F71" s="2"/>
      <c r="G71" s="2"/>
      <c r="H71" s="37"/>
      <c r="I71" s="38"/>
      <c r="J71" s="35"/>
      <c r="K71" s="2"/>
      <c r="L71" s="2"/>
      <c r="M71" s="2"/>
      <c r="N71" s="2"/>
      <c r="O71" s="2"/>
      <c r="P71" s="2"/>
      <c r="Q71" s="2"/>
      <c r="R71" s="2"/>
      <c r="S71" s="39"/>
      <c r="T71" s="38"/>
      <c r="U71" s="2"/>
      <c r="V71" s="2"/>
      <c r="W71" s="2"/>
      <c r="X71" s="2"/>
      <c r="Y71" s="2"/>
      <c r="Z71" s="2"/>
      <c r="AA71" s="2"/>
      <c r="AB71" s="39"/>
      <c r="AC71" s="38"/>
      <c r="AD71" s="35"/>
      <c r="AE71" s="2"/>
      <c r="AF71" s="2"/>
      <c r="AG71" s="2"/>
      <c r="AH71" s="2"/>
      <c r="AI71" s="2"/>
      <c r="AJ71" s="37"/>
      <c r="AK71" s="40"/>
      <c r="AL71"/>
      <c r="AM71"/>
      <c r="AN71"/>
      <c r="AO71"/>
      <c r="AP71"/>
      <c r="AQ71"/>
      <c r="AR71"/>
      <c r="AS71"/>
      <c r="AT71"/>
      <c r="AU71"/>
    </row>
    <row r="72" spans="2:47" x14ac:dyDescent="0.25">
      <c r="AL72"/>
      <c r="AM72"/>
      <c r="AN72"/>
      <c r="AO72"/>
      <c r="AP72"/>
      <c r="AQ72"/>
      <c r="AR72"/>
      <c r="AS72"/>
      <c r="AT72"/>
      <c r="AU72"/>
    </row>
    <row r="73" spans="2:47" x14ac:dyDescent="0.25">
      <c r="AL73"/>
      <c r="AM73"/>
      <c r="AN73"/>
      <c r="AO73"/>
      <c r="AP73"/>
      <c r="AQ73"/>
      <c r="AR73"/>
      <c r="AS73"/>
      <c r="AT73"/>
      <c r="AU73"/>
    </row>
    <row r="74" spans="2:47" x14ac:dyDescent="0.25">
      <c r="AL74"/>
      <c r="AM74"/>
      <c r="AN74"/>
      <c r="AO74"/>
      <c r="AP74"/>
      <c r="AQ74"/>
      <c r="AR74"/>
      <c r="AS74"/>
      <c r="AT74"/>
      <c r="AU74"/>
    </row>
  </sheetData>
  <phoneticPr fontId="2"/>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00"/>
  <sheetViews>
    <sheetView workbookViewId="0">
      <selection activeCell="K97" sqref="K97"/>
    </sheetView>
  </sheetViews>
  <sheetFormatPr defaultRowHeight="14.25" x14ac:dyDescent="0.25"/>
  <cols>
    <col min="1" max="1" width="9" style="326"/>
    <col min="2" max="10" width="9.125" style="326" bestFit="1" customWidth="1"/>
    <col min="11" max="13" width="9.125" style="338" bestFit="1" customWidth="1"/>
    <col min="14" max="15" width="12.375" style="338" bestFit="1" customWidth="1"/>
    <col min="16" max="18" width="9" style="338"/>
    <col min="19" max="21" width="12.375" style="349" bestFit="1" customWidth="1"/>
    <col min="22" max="16384" width="9" style="338"/>
  </cols>
  <sheetData>
    <row r="1" spans="1:25" ht="29.25" thickBot="1" x14ac:dyDescent="0.3">
      <c r="A1" s="325" t="s">
        <v>525</v>
      </c>
      <c r="B1" s="325"/>
      <c r="C1" s="325"/>
      <c r="D1" s="325"/>
      <c r="E1" s="325"/>
      <c r="F1" s="325"/>
      <c r="G1" s="325"/>
      <c r="H1" s="325"/>
      <c r="I1" s="325"/>
      <c r="J1" s="325"/>
      <c r="K1" s="336"/>
      <c r="L1" s="337"/>
      <c r="M1" s="337"/>
      <c r="N1" s="337"/>
      <c r="O1" s="337"/>
      <c r="P1" s="337"/>
      <c r="Q1" s="337"/>
      <c r="R1" s="337"/>
      <c r="S1" s="347"/>
      <c r="T1" s="347"/>
      <c r="U1" s="347"/>
      <c r="V1" s="337"/>
      <c r="W1" s="337"/>
      <c r="X1" s="337"/>
      <c r="Y1" s="337"/>
    </row>
    <row r="2" spans="1:25" ht="36" customHeight="1" thickBot="1" x14ac:dyDescent="0.3">
      <c r="A2" s="378" t="s">
        <v>526</v>
      </c>
      <c r="B2" s="379"/>
      <c r="C2" s="379"/>
      <c r="D2" s="379"/>
      <c r="E2" s="379"/>
      <c r="F2" s="379"/>
      <c r="G2" s="380"/>
      <c r="H2" s="325"/>
      <c r="I2" s="325"/>
      <c r="J2" s="325"/>
      <c r="K2" s="339"/>
      <c r="L2" s="340"/>
      <c r="M2" s="340"/>
      <c r="N2" s="340"/>
      <c r="O2" s="340"/>
      <c r="P2" s="340"/>
      <c r="Q2" s="340"/>
      <c r="R2" s="340"/>
      <c r="S2" s="348"/>
      <c r="T2" s="348"/>
      <c r="U2" s="348"/>
      <c r="V2" s="340"/>
      <c r="W2" s="340"/>
      <c r="X2" s="340"/>
      <c r="Y2" s="340"/>
    </row>
    <row r="3" spans="1:25" ht="15" thickBot="1" x14ac:dyDescent="0.3">
      <c r="A3" s="325"/>
      <c r="B3" s="325"/>
      <c r="C3" s="325"/>
      <c r="D3" s="325"/>
      <c r="E3" s="325"/>
      <c r="F3" s="327" t="s">
        <v>527</v>
      </c>
      <c r="G3" s="325"/>
      <c r="H3" s="325"/>
      <c r="I3" s="325"/>
      <c r="J3" s="325"/>
      <c r="K3" s="339"/>
      <c r="L3" s="340"/>
      <c r="M3" s="340"/>
      <c r="N3" s="340"/>
      <c r="O3" s="340"/>
      <c r="P3" s="340"/>
      <c r="Q3" s="340"/>
      <c r="R3" s="340"/>
      <c r="S3" s="348"/>
      <c r="T3" s="348"/>
      <c r="U3" s="348"/>
      <c r="V3" s="340"/>
      <c r="W3" s="340"/>
      <c r="X3" s="340"/>
      <c r="Y3" s="340"/>
    </row>
    <row r="4" spans="1:25" ht="15" thickBot="1" x14ac:dyDescent="0.3">
      <c r="A4" s="328" t="s">
        <v>528</v>
      </c>
      <c r="B4" s="328"/>
      <c r="C4" s="328"/>
      <c r="D4" s="328"/>
      <c r="E4" s="328"/>
      <c r="F4" s="328"/>
      <c r="G4" s="328"/>
      <c r="H4" s="328"/>
      <c r="I4" s="328"/>
      <c r="J4" s="328"/>
      <c r="K4" s="339"/>
      <c r="L4" s="340"/>
      <c r="M4" s="340"/>
      <c r="N4" s="340"/>
      <c r="O4" s="340"/>
      <c r="P4" s="340"/>
      <c r="Q4" s="340"/>
      <c r="R4" s="340"/>
      <c r="S4" s="348"/>
      <c r="T4" s="348"/>
      <c r="U4" s="348"/>
      <c r="V4" s="340"/>
      <c r="W4" s="340"/>
      <c r="X4" s="340"/>
      <c r="Y4" s="340"/>
    </row>
    <row r="5" spans="1:25" ht="15" thickBot="1" x14ac:dyDescent="0.3">
      <c r="A5" s="373" t="s">
        <v>17</v>
      </c>
      <c r="B5" s="375" t="s">
        <v>529</v>
      </c>
      <c r="C5" s="376"/>
      <c r="D5" s="377"/>
      <c r="E5" s="375" t="s">
        <v>530</v>
      </c>
      <c r="F5" s="376"/>
      <c r="G5" s="377"/>
      <c r="H5" s="375" t="s">
        <v>531</v>
      </c>
      <c r="I5" s="376"/>
      <c r="J5" s="377"/>
      <c r="K5" s="339"/>
      <c r="L5" s="340"/>
      <c r="M5" s="340"/>
      <c r="N5" s="340"/>
      <c r="O5" s="340"/>
      <c r="P5" s="340"/>
      <c r="Q5" s="340"/>
      <c r="R5" s="340"/>
      <c r="S5" s="348"/>
      <c r="T5" s="348"/>
      <c r="U5" s="348"/>
      <c r="V5" s="340"/>
      <c r="W5" s="340"/>
      <c r="X5" s="340"/>
      <c r="Y5" s="340"/>
    </row>
    <row r="6" spans="1:25" ht="43.5" thickBot="1" x14ac:dyDescent="0.3">
      <c r="A6" s="374"/>
      <c r="B6" s="330" t="s">
        <v>532</v>
      </c>
      <c r="C6" s="330" t="s">
        <v>533</v>
      </c>
      <c r="D6" s="330" t="s">
        <v>534</v>
      </c>
      <c r="E6" s="330" t="s">
        <v>532</v>
      </c>
      <c r="F6" s="330" t="s">
        <v>533</v>
      </c>
      <c r="G6" s="330" t="s">
        <v>534</v>
      </c>
      <c r="H6" s="330" t="s">
        <v>532</v>
      </c>
      <c r="I6" s="330" t="s">
        <v>533</v>
      </c>
      <c r="J6" s="330" t="s">
        <v>534</v>
      </c>
      <c r="K6" s="339"/>
      <c r="L6" s="340"/>
      <c r="M6" s="340"/>
      <c r="N6" s="340"/>
      <c r="O6" s="340"/>
      <c r="P6" s="340"/>
      <c r="Q6" s="340"/>
      <c r="R6" s="340"/>
      <c r="S6" s="348"/>
      <c r="T6" s="348"/>
      <c r="U6" s="348"/>
      <c r="V6" s="340"/>
      <c r="W6" s="340"/>
      <c r="X6" s="340"/>
      <c r="Y6" s="340"/>
    </row>
    <row r="7" spans="1:25" ht="15" thickBot="1" x14ac:dyDescent="0.3">
      <c r="A7" s="331" t="s">
        <v>535</v>
      </c>
      <c r="B7" s="329">
        <v>131.80000000000001</v>
      </c>
      <c r="C7" s="329">
        <v>140.4</v>
      </c>
      <c r="D7" s="332">
        <v>140.4</v>
      </c>
      <c r="E7" s="329">
        <v>291.3</v>
      </c>
      <c r="F7" s="329">
        <v>154</v>
      </c>
      <c r="G7" s="332">
        <v>154</v>
      </c>
      <c r="H7" s="329">
        <v>307.7</v>
      </c>
      <c r="I7" s="329">
        <v>145.9</v>
      </c>
      <c r="J7" s="332">
        <v>145.9</v>
      </c>
      <c r="K7" s="339"/>
      <c r="L7" s="340"/>
      <c r="M7" s="340"/>
      <c r="N7" s="340"/>
      <c r="O7" s="340"/>
      <c r="P7" s="340"/>
      <c r="Q7" s="340"/>
      <c r="R7" s="340"/>
      <c r="S7" s="348"/>
      <c r="T7" s="348"/>
      <c r="U7" s="348"/>
      <c r="V7" s="340"/>
      <c r="W7" s="340"/>
      <c r="X7" s="340"/>
      <c r="Y7" s="340"/>
    </row>
    <row r="8" spans="1:25" ht="15" thickBot="1" x14ac:dyDescent="0.3">
      <c r="A8" s="331" t="s">
        <v>536</v>
      </c>
      <c r="B8" s="329">
        <v>76.7</v>
      </c>
      <c r="C8" s="329">
        <v>81.7</v>
      </c>
      <c r="D8" s="332">
        <v>81.7</v>
      </c>
      <c r="E8" s="329">
        <v>160</v>
      </c>
      <c r="F8" s="329">
        <v>84.6</v>
      </c>
      <c r="G8" s="332">
        <v>84.6</v>
      </c>
      <c r="H8" s="329">
        <v>179</v>
      </c>
      <c r="I8" s="329">
        <v>84.9</v>
      </c>
      <c r="J8" s="332">
        <v>84.9</v>
      </c>
      <c r="K8" s="339"/>
      <c r="L8" s="340"/>
      <c r="M8" s="340"/>
      <c r="N8" s="340"/>
      <c r="O8" s="340"/>
      <c r="P8" s="340"/>
      <c r="Q8" s="340"/>
      <c r="R8" s="340">
        <v>20</v>
      </c>
      <c r="S8" s="348">
        <f>$L$24</f>
        <v>100</v>
      </c>
      <c r="T8" s="348">
        <f>$O$24/$L$24*S8</f>
        <v>324.11408815903195</v>
      </c>
      <c r="U8" s="348">
        <f>$P$24/$L$24*S8</f>
        <v>77.787381158167662</v>
      </c>
      <c r="V8" s="340"/>
      <c r="W8" s="340"/>
      <c r="X8" s="340"/>
      <c r="Y8" s="340"/>
    </row>
    <row r="9" spans="1:25" ht="15" thickBot="1" x14ac:dyDescent="0.3">
      <c r="A9" s="331" t="s">
        <v>537</v>
      </c>
      <c r="B9" s="329">
        <v>93.9</v>
      </c>
      <c r="C9" s="329">
        <v>100</v>
      </c>
      <c r="D9" s="332">
        <v>100</v>
      </c>
      <c r="E9" s="329">
        <v>189.2</v>
      </c>
      <c r="F9" s="329">
        <v>100</v>
      </c>
      <c r="G9" s="332">
        <v>100</v>
      </c>
      <c r="H9" s="329">
        <v>210.9</v>
      </c>
      <c r="I9" s="329">
        <v>100</v>
      </c>
      <c r="J9" s="332">
        <v>100</v>
      </c>
      <c r="K9" s="339"/>
      <c r="L9" s="340"/>
      <c r="M9" s="340"/>
      <c r="N9" s="340"/>
      <c r="O9" s="340"/>
      <c r="P9" s="340"/>
      <c r="Q9" s="340"/>
      <c r="R9" s="340">
        <v>21</v>
      </c>
      <c r="S9" s="348">
        <f>S8*$M$25</f>
        <v>103.34816288443834</v>
      </c>
      <c r="T9" s="348">
        <f t="shared" ref="T9:T53" si="0">$O$24/$L$24*S9</f>
        <v>334.96595576200843</v>
      </c>
      <c r="U9" s="348">
        <f t="shared" ref="U9:U53" si="1">$P$24/$L$24*S9</f>
        <v>80.391829382882008</v>
      </c>
      <c r="V9" s="340"/>
      <c r="W9" s="340"/>
      <c r="X9" s="340"/>
      <c r="Y9" s="340"/>
    </row>
    <row r="10" spans="1:25" ht="15" thickBot="1" x14ac:dyDescent="0.3">
      <c r="A10" s="331" t="s">
        <v>538</v>
      </c>
      <c r="B10" s="329">
        <v>120.4</v>
      </c>
      <c r="C10" s="329">
        <v>128.19999999999999</v>
      </c>
      <c r="D10" s="332">
        <v>128.19999999999999</v>
      </c>
      <c r="E10" s="329">
        <v>231.1</v>
      </c>
      <c r="F10" s="329">
        <v>122.1</v>
      </c>
      <c r="G10" s="332">
        <v>122.1</v>
      </c>
      <c r="H10" s="329">
        <v>243.9</v>
      </c>
      <c r="I10" s="329">
        <v>115.6</v>
      </c>
      <c r="J10" s="332">
        <v>115.6</v>
      </c>
      <c r="K10" s="339"/>
      <c r="L10" s="340"/>
      <c r="M10" s="340"/>
      <c r="N10" s="340"/>
      <c r="O10" s="340"/>
      <c r="P10" s="340"/>
      <c r="Q10" s="340"/>
      <c r="R10" s="340">
        <v>22</v>
      </c>
      <c r="S10" s="348">
        <f>S9*$M$25</f>
        <v>106.80842771588398</v>
      </c>
      <c r="T10" s="348">
        <f t="shared" si="0"/>
        <v>346.18116156833611</v>
      </c>
      <c r="U10" s="348">
        <f t="shared" si="1"/>
        <v>83.083478776400653</v>
      </c>
      <c r="V10" s="340"/>
      <c r="W10" s="340"/>
      <c r="X10" s="340"/>
      <c r="Y10" s="340"/>
    </row>
    <row r="11" spans="1:25" ht="15" thickBot="1" x14ac:dyDescent="0.3">
      <c r="A11" s="331" t="s">
        <v>539</v>
      </c>
      <c r="B11" s="329">
        <v>146.6</v>
      </c>
      <c r="C11" s="329">
        <v>156.1</v>
      </c>
      <c r="D11" s="332">
        <v>156.1</v>
      </c>
      <c r="E11" s="329">
        <v>279.10000000000002</v>
      </c>
      <c r="F11" s="329">
        <v>147.5</v>
      </c>
      <c r="G11" s="332">
        <v>147.5</v>
      </c>
      <c r="H11" s="329">
        <v>275.89999999999998</v>
      </c>
      <c r="I11" s="329">
        <v>130.80000000000001</v>
      </c>
      <c r="J11" s="332">
        <v>130.80000000000001</v>
      </c>
      <c r="K11" s="339"/>
      <c r="L11" s="340"/>
      <c r="M11" s="340"/>
      <c r="N11" s="340"/>
      <c r="O11" s="340"/>
      <c r="P11" s="340"/>
      <c r="Q11" s="340"/>
      <c r="R11" s="340">
        <v>23</v>
      </c>
      <c r="S11" s="348">
        <f>S10*$M$25</f>
        <v>110.38454785011935</v>
      </c>
      <c r="T11" s="348">
        <f t="shared" si="0"/>
        <v>357.77187073288462</v>
      </c>
      <c r="U11" s="348">
        <f t="shared" si="1"/>
        <v>85.8652489758923</v>
      </c>
      <c r="V11" s="340"/>
      <c r="W11" s="340"/>
      <c r="X11" s="340"/>
      <c r="Y11" s="340"/>
    </row>
    <row r="12" spans="1:25" ht="15" thickBot="1" x14ac:dyDescent="0.3">
      <c r="A12" s="331" t="s">
        <v>540</v>
      </c>
      <c r="B12" s="329">
        <v>156.4</v>
      </c>
      <c r="C12" s="329">
        <v>166.6</v>
      </c>
      <c r="D12" s="332">
        <v>166.6</v>
      </c>
      <c r="E12" s="329">
        <v>316.2</v>
      </c>
      <c r="F12" s="329">
        <v>167.1</v>
      </c>
      <c r="G12" s="332">
        <v>167.1</v>
      </c>
      <c r="H12" s="329">
        <v>305.3</v>
      </c>
      <c r="I12" s="329">
        <v>144.80000000000001</v>
      </c>
      <c r="J12" s="332">
        <v>144.80000000000001</v>
      </c>
      <c r="K12" s="339"/>
      <c r="L12" s="340"/>
      <c r="M12" s="340"/>
      <c r="N12" s="340"/>
      <c r="O12" s="340"/>
      <c r="P12" s="340"/>
      <c r="Q12" s="340"/>
      <c r="R12" s="340">
        <v>24</v>
      </c>
      <c r="S12" s="348">
        <f>S11*$M$25</f>
        <v>114.08040231139212</v>
      </c>
      <c r="T12" s="348">
        <f t="shared" si="0"/>
        <v>369.7506557197238</v>
      </c>
      <c r="U12" s="348">
        <f t="shared" si="1"/>
        <v>88.740157372733691</v>
      </c>
      <c r="V12" s="340"/>
      <c r="W12" s="340"/>
      <c r="X12" s="340"/>
      <c r="Y12" s="340"/>
    </row>
    <row r="13" spans="1:25" ht="15" thickBot="1" x14ac:dyDescent="0.3">
      <c r="A13" s="331" t="s">
        <v>541</v>
      </c>
      <c r="B13" s="329">
        <v>157.19999999999999</v>
      </c>
      <c r="C13" s="329">
        <v>167.4</v>
      </c>
      <c r="D13" s="332">
        <v>167.4</v>
      </c>
      <c r="E13" s="329">
        <v>340.1</v>
      </c>
      <c r="F13" s="329">
        <v>179.8</v>
      </c>
      <c r="G13" s="332">
        <v>179.8</v>
      </c>
      <c r="H13" s="329">
        <v>329.6</v>
      </c>
      <c r="I13" s="329">
        <v>156.30000000000001</v>
      </c>
      <c r="J13" s="332">
        <v>156.30000000000001</v>
      </c>
      <c r="K13" s="339"/>
      <c r="L13" s="340"/>
      <c r="M13" s="340"/>
      <c r="N13" s="340"/>
      <c r="O13" s="340"/>
      <c r="P13" s="340"/>
      <c r="Q13" s="340"/>
      <c r="R13" s="340">
        <v>25</v>
      </c>
      <c r="S13" s="348">
        <f>$L$25</f>
        <v>117.9</v>
      </c>
      <c r="T13" s="348">
        <f t="shared" si="0"/>
        <v>382.13050993949867</v>
      </c>
      <c r="U13" s="348">
        <f t="shared" si="1"/>
        <v>91.711322385479676</v>
      </c>
      <c r="V13" s="340"/>
      <c r="W13" s="340"/>
      <c r="X13" s="340"/>
      <c r="Y13" s="340"/>
    </row>
    <row r="14" spans="1:25" ht="15" thickBot="1" x14ac:dyDescent="0.3">
      <c r="A14" s="331" t="s">
        <v>542</v>
      </c>
      <c r="B14" s="329">
        <v>156.69999999999999</v>
      </c>
      <c r="C14" s="329">
        <v>166.9</v>
      </c>
      <c r="D14" s="332">
        <v>166.9</v>
      </c>
      <c r="E14" s="329">
        <v>361.4</v>
      </c>
      <c r="F14" s="329">
        <v>191</v>
      </c>
      <c r="G14" s="332">
        <v>191</v>
      </c>
      <c r="H14" s="329">
        <v>350.3</v>
      </c>
      <c r="I14" s="329">
        <v>166.1</v>
      </c>
      <c r="J14" s="332">
        <v>166.1</v>
      </c>
      <c r="K14" s="339"/>
      <c r="L14" s="340"/>
      <c r="M14" s="340"/>
      <c r="N14" s="340"/>
      <c r="O14" s="340"/>
      <c r="P14" s="340"/>
      <c r="Q14" s="340"/>
      <c r="R14" s="340">
        <v>26</v>
      </c>
      <c r="S14" s="348">
        <f>S13*$M$26</f>
        <v>121.36968233348216</v>
      </c>
      <c r="T14" s="348">
        <f t="shared" si="0"/>
        <v>393.37623919667942</v>
      </c>
      <c r="U14" s="348">
        <f t="shared" si="1"/>
        <v>94.410297407203046</v>
      </c>
      <c r="V14" s="340"/>
      <c r="W14" s="340"/>
      <c r="X14" s="340"/>
      <c r="Y14" s="340"/>
    </row>
    <row r="15" spans="1:25" ht="15" thickBot="1" x14ac:dyDescent="0.3">
      <c r="A15" s="331" t="s">
        <v>543</v>
      </c>
      <c r="B15" s="329">
        <v>156.5</v>
      </c>
      <c r="C15" s="329">
        <v>166.7</v>
      </c>
      <c r="D15" s="332">
        <v>166.7</v>
      </c>
      <c r="E15" s="329">
        <v>367.8</v>
      </c>
      <c r="F15" s="329">
        <v>194.4</v>
      </c>
      <c r="G15" s="332">
        <v>194.4</v>
      </c>
      <c r="H15" s="329">
        <v>373.5</v>
      </c>
      <c r="I15" s="329">
        <v>177.1</v>
      </c>
      <c r="J15" s="332">
        <v>177.1</v>
      </c>
      <c r="K15" s="339"/>
      <c r="L15" s="340"/>
      <c r="M15" s="340"/>
      <c r="N15" s="340"/>
      <c r="O15" s="340"/>
      <c r="P15" s="340"/>
      <c r="Q15" s="340"/>
      <c r="R15" s="340">
        <v>27</v>
      </c>
      <c r="S15" s="348">
        <f t="shared" ref="S15:S17" si="2">S14*$M$26</f>
        <v>124.9414740435146</v>
      </c>
      <c r="T15" s="348">
        <f t="shared" si="0"/>
        <v>404.95291932859095</v>
      </c>
      <c r="U15" s="348">
        <f t="shared" si="1"/>
        <v>97.188700638861818</v>
      </c>
      <c r="V15" s="340"/>
      <c r="W15" s="340"/>
      <c r="X15" s="340"/>
      <c r="Y15" s="340"/>
    </row>
    <row r="16" spans="1:25" ht="15" thickBot="1" x14ac:dyDescent="0.3">
      <c r="A16" s="331" t="s">
        <v>544</v>
      </c>
      <c r="B16" s="329">
        <v>136.30000000000001</v>
      </c>
      <c r="C16" s="329">
        <v>145.19999999999999</v>
      </c>
      <c r="D16" s="332">
        <v>145.19999999999999</v>
      </c>
      <c r="E16" s="329">
        <v>337.7</v>
      </c>
      <c r="F16" s="329">
        <v>178.5</v>
      </c>
      <c r="G16" s="332">
        <v>178.5</v>
      </c>
      <c r="H16" s="329">
        <v>367.2</v>
      </c>
      <c r="I16" s="329">
        <v>174.1</v>
      </c>
      <c r="J16" s="332">
        <v>174.1</v>
      </c>
      <c r="K16" s="339"/>
      <c r="L16" s="340"/>
      <c r="M16" s="340"/>
      <c r="N16" s="340"/>
      <c r="O16" s="340"/>
      <c r="P16" s="340"/>
      <c r="Q16" s="340"/>
      <c r="R16" s="340">
        <v>28</v>
      </c>
      <c r="S16" s="348">
        <f t="shared" si="2"/>
        <v>128.61838010974023</v>
      </c>
      <c r="T16" s="348">
        <f t="shared" si="0"/>
        <v>416.87028989760228</v>
      </c>
      <c r="U16" s="348">
        <f t="shared" si="1"/>
        <v>100.04886957542453</v>
      </c>
      <c r="V16" s="340"/>
      <c r="W16" s="340"/>
      <c r="X16" s="340"/>
      <c r="Y16" s="340"/>
    </row>
    <row r="17" spans="1:25" ht="15" thickBot="1" x14ac:dyDescent="0.3">
      <c r="A17" s="333" t="s">
        <v>545</v>
      </c>
      <c r="B17" s="334">
        <v>116.4</v>
      </c>
      <c r="C17" s="334">
        <v>124</v>
      </c>
      <c r="D17" s="335">
        <v>124</v>
      </c>
      <c r="E17" s="334">
        <v>263.5</v>
      </c>
      <c r="F17" s="334">
        <v>139.30000000000001</v>
      </c>
      <c r="G17" s="335">
        <v>139.30000000000001</v>
      </c>
      <c r="H17" s="334">
        <v>269.89999999999998</v>
      </c>
      <c r="I17" s="334">
        <v>128</v>
      </c>
      <c r="J17" s="335">
        <v>128</v>
      </c>
      <c r="K17" s="339"/>
      <c r="L17" s="340"/>
      <c r="M17" s="340"/>
      <c r="N17" s="340"/>
      <c r="O17" s="340"/>
      <c r="P17" s="340"/>
      <c r="Q17" s="340"/>
      <c r="R17" s="340">
        <v>29</v>
      </c>
      <c r="S17" s="348">
        <f t="shared" si="2"/>
        <v>132.40349394543028</v>
      </c>
      <c r="T17" s="348">
        <f t="shared" si="0"/>
        <v>429.13837709193047</v>
      </c>
      <c r="U17" s="348">
        <f t="shared" si="1"/>
        <v>102.99321050206329</v>
      </c>
      <c r="V17" s="340"/>
      <c r="W17" s="340"/>
      <c r="X17" s="340"/>
      <c r="Y17" s="340"/>
    </row>
    <row r="18" spans="1:25" ht="15" thickBot="1" x14ac:dyDescent="0.3">
      <c r="A18" s="325"/>
      <c r="B18" s="325"/>
      <c r="C18" s="325"/>
      <c r="D18" s="325"/>
      <c r="E18" s="325"/>
      <c r="F18" s="325"/>
      <c r="G18" s="325"/>
      <c r="H18" s="325"/>
      <c r="I18" s="325"/>
      <c r="J18" s="325"/>
      <c r="K18" s="339"/>
      <c r="L18" s="340"/>
      <c r="M18" s="340"/>
      <c r="N18" s="340"/>
      <c r="O18" s="340"/>
      <c r="P18" s="340"/>
      <c r="Q18" s="340"/>
      <c r="R18" s="340">
        <v>30</v>
      </c>
      <c r="S18" s="348">
        <f>$L$26</f>
        <v>136.30000000000001</v>
      </c>
      <c r="T18" s="348">
        <f t="shared" si="0"/>
        <v>441.76750216076061</v>
      </c>
      <c r="U18" s="348">
        <f t="shared" si="1"/>
        <v>106.02420051858252</v>
      </c>
      <c r="V18" s="340"/>
      <c r="W18" s="340"/>
      <c r="X18" s="340"/>
      <c r="Y18" s="340"/>
    </row>
    <row r="19" spans="1:25" ht="15" thickBot="1" x14ac:dyDescent="0.3">
      <c r="A19" s="328" t="s">
        <v>546</v>
      </c>
      <c r="B19" s="328"/>
      <c r="C19" s="328"/>
      <c r="D19" s="328"/>
      <c r="E19" s="328"/>
      <c r="F19" s="328"/>
      <c r="G19" s="328"/>
      <c r="H19" s="328"/>
      <c r="I19" s="328"/>
      <c r="J19" s="328"/>
      <c r="K19" s="339"/>
      <c r="L19" s="340"/>
      <c r="M19" s="340"/>
      <c r="N19" s="340"/>
      <c r="O19" s="340"/>
      <c r="P19" s="340"/>
      <c r="Q19" s="340"/>
      <c r="R19" s="340">
        <v>31</v>
      </c>
      <c r="S19" s="348">
        <f>S18*$M$27</f>
        <v>139.65111535266297</v>
      </c>
      <c r="T19" s="348">
        <f t="shared" si="0"/>
        <v>452.62893912920146</v>
      </c>
      <c r="U19" s="348">
        <f t="shared" si="1"/>
        <v>108.63094539100834</v>
      </c>
      <c r="V19" s="340"/>
      <c r="W19" s="340"/>
      <c r="X19" s="340"/>
      <c r="Y19" s="340"/>
    </row>
    <row r="20" spans="1:25" ht="15" thickBot="1" x14ac:dyDescent="0.3">
      <c r="A20" s="373" t="s">
        <v>17</v>
      </c>
      <c r="B20" s="375" t="s">
        <v>529</v>
      </c>
      <c r="C20" s="376"/>
      <c r="D20" s="377"/>
      <c r="E20" s="375" t="s">
        <v>530</v>
      </c>
      <c r="F20" s="376"/>
      <c r="G20" s="377"/>
      <c r="H20" s="375" t="s">
        <v>531</v>
      </c>
      <c r="I20" s="376"/>
      <c r="J20" s="377"/>
      <c r="K20" s="339"/>
      <c r="L20" s="340"/>
      <c r="M20" s="340"/>
      <c r="N20" s="340"/>
      <c r="O20" s="340"/>
      <c r="P20" s="340"/>
      <c r="Q20" s="340"/>
      <c r="R20" s="340">
        <v>32</v>
      </c>
      <c r="S20" s="348">
        <f t="shared" ref="S20:S22" si="3">S19*$M$27</f>
        <v>143.08462229818619</v>
      </c>
      <c r="T20" s="348">
        <f t="shared" si="0"/>
        <v>463.75741885756111</v>
      </c>
      <c r="U20" s="348">
        <f t="shared" si="1"/>
        <v>111.30178052581464</v>
      </c>
      <c r="V20" s="340"/>
      <c r="W20" s="340"/>
      <c r="X20" s="340"/>
      <c r="Y20" s="340"/>
    </row>
    <row r="21" spans="1:25" ht="43.5" thickBot="1" x14ac:dyDescent="0.3">
      <c r="A21" s="374"/>
      <c r="B21" s="330" t="s">
        <v>532</v>
      </c>
      <c r="C21" s="330" t="s">
        <v>533</v>
      </c>
      <c r="D21" s="330" t="s">
        <v>534</v>
      </c>
      <c r="E21" s="330" t="s">
        <v>532</v>
      </c>
      <c r="F21" s="330" t="s">
        <v>533</v>
      </c>
      <c r="G21" s="330" t="s">
        <v>534</v>
      </c>
      <c r="H21" s="330" t="s">
        <v>532</v>
      </c>
      <c r="I21" s="330" t="s">
        <v>533</v>
      </c>
      <c r="J21" s="330" t="s">
        <v>534</v>
      </c>
      <c r="K21" s="339"/>
      <c r="L21" s="340"/>
      <c r="M21" s="340"/>
      <c r="N21" s="340"/>
      <c r="O21" s="340"/>
      <c r="P21" s="340"/>
      <c r="Q21" s="340"/>
      <c r="R21" s="340">
        <v>33</v>
      </c>
      <c r="S21" s="348">
        <f t="shared" si="3"/>
        <v>146.60254654259876</v>
      </c>
      <c r="T21" s="348">
        <f t="shared" si="0"/>
        <v>475.1595069444644</v>
      </c>
      <c r="U21" s="348">
        <f t="shared" si="1"/>
        <v>114.03828166667144</v>
      </c>
      <c r="V21" s="340"/>
      <c r="W21" s="340"/>
      <c r="X21" s="340"/>
      <c r="Y21" s="340"/>
    </row>
    <row r="22" spans="1:25" ht="15" thickBot="1" x14ac:dyDescent="0.3">
      <c r="A22" s="331" t="s">
        <v>535</v>
      </c>
      <c r="B22" s="329">
        <v>151.5</v>
      </c>
      <c r="C22" s="329">
        <v>149.69999999999999</v>
      </c>
      <c r="D22" s="332">
        <v>161.30000000000001</v>
      </c>
      <c r="E22" s="329">
        <v>330</v>
      </c>
      <c r="F22" s="329">
        <v>165.2</v>
      </c>
      <c r="G22" s="332">
        <v>174.4</v>
      </c>
      <c r="H22" s="329">
        <v>338</v>
      </c>
      <c r="I22" s="329">
        <v>158.4</v>
      </c>
      <c r="J22" s="332">
        <v>160.30000000000001</v>
      </c>
      <c r="K22" s="339"/>
      <c r="L22" s="340"/>
      <c r="M22" s="340"/>
      <c r="N22" s="340"/>
      <c r="O22" s="340"/>
      <c r="P22" s="340"/>
      <c r="Q22" s="340"/>
      <c r="R22" s="340">
        <v>34</v>
      </c>
      <c r="S22" s="348">
        <f t="shared" si="3"/>
        <v>150.20696359658547</v>
      </c>
      <c r="T22" s="348">
        <f t="shared" si="0"/>
        <v>486.84193041244208</v>
      </c>
      <c r="U22" s="348">
        <f t="shared" si="1"/>
        <v>116.84206329898608</v>
      </c>
      <c r="V22" s="340"/>
      <c r="W22" s="340"/>
      <c r="X22" s="340"/>
      <c r="Y22" s="340"/>
    </row>
    <row r="23" spans="1:25" ht="15" thickBot="1" x14ac:dyDescent="0.3">
      <c r="A23" s="331" t="s">
        <v>536</v>
      </c>
      <c r="B23" s="329">
        <v>80.099999999999994</v>
      </c>
      <c r="C23" s="329">
        <v>79.2</v>
      </c>
      <c r="D23" s="332">
        <v>85.3</v>
      </c>
      <c r="E23" s="329">
        <v>165.9</v>
      </c>
      <c r="F23" s="329">
        <v>83.1</v>
      </c>
      <c r="G23" s="332">
        <v>87.7</v>
      </c>
      <c r="H23" s="329">
        <v>182.8</v>
      </c>
      <c r="I23" s="329">
        <v>85.7</v>
      </c>
      <c r="J23" s="332">
        <v>86.7</v>
      </c>
      <c r="K23" s="339"/>
      <c r="L23" s="340"/>
      <c r="M23" s="340"/>
      <c r="N23" s="340"/>
      <c r="O23" s="340"/>
      <c r="P23" s="340"/>
      <c r="Q23" s="340"/>
      <c r="R23" s="340">
        <v>35</v>
      </c>
      <c r="S23" s="348">
        <f>$L$27</f>
        <v>153.9</v>
      </c>
      <c r="T23" s="348">
        <f t="shared" si="0"/>
        <v>498.81158167675022</v>
      </c>
      <c r="U23" s="348">
        <f t="shared" si="1"/>
        <v>119.71477960242002</v>
      </c>
      <c r="V23" s="340"/>
      <c r="W23" s="340"/>
      <c r="X23" s="340"/>
      <c r="Y23" s="340"/>
    </row>
    <row r="24" spans="1:25" ht="15" thickBot="1" x14ac:dyDescent="0.3">
      <c r="A24" s="331" t="s">
        <v>537</v>
      </c>
      <c r="B24" s="329">
        <v>101.2</v>
      </c>
      <c r="C24" s="329">
        <v>100</v>
      </c>
      <c r="D24" s="332">
        <v>107.8</v>
      </c>
      <c r="E24" s="329">
        <v>199.7</v>
      </c>
      <c r="F24" s="329">
        <v>100</v>
      </c>
      <c r="G24" s="332">
        <v>105.5</v>
      </c>
      <c r="H24" s="329">
        <v>213.4</v>
      </c>
      <c r="I24" s="329">
        <v>100</v>
      </c>
      <c r="J24" s="332">
        <v>101.2</v>
      </c>
      <c r="K24" s="341">
        <v>20</v>
      </c>
      <c r="L24" s="342">
        <f>I24</f>
        <v>100</v>
      </c>
      <c r="M24" s="340"/>
      <c r="N24" s="342">
        <v>500</v>
      </c>
      <c r="O24" s="346">
        <f>$O$33/$N$33*L24</f>
        <v>324.11408815903195</v>
      </c>
      <c r="P24" s="346">
        <f>$P$33/$N$33*L24</f>
        <v>77.787381158167662</v>
      </c>
      <c r="Q24" s="340"/>
      <c r="R24" s="340">
        <v>36</v>
      </c>
      <c r="S24" s="348">
        <f>S23*$M$28</f>
        <v>156.75229657255102</v>
      </c>
      <c r="T24" s="348">
        <f t="shared" si="0"/>
        <v>508.05627670446523</v>
      </c>
      <c r="U24" s="348">
        <f t="shared" si="1"/>
        <v>121.93350640907164</v>
      </c>
      <c r="V24" s="340"/>
      <c r="W24" s="340"/>
      <c r="X24" s="340"/>
      <c r="Y24" s="340"/>
    </row>
    <row r="25" spans="1:25" ht="15" thickBot="1" x14ac:dyDescent="0.3">
      <c r="A25" s="331" t="s">
        <v>538</v>
      </c>
      <c r="B25" s="329">
        <v>128.69999999999999</v>
      </c>
      <c r="C25" s="329">
        <v>127.2</v>
      </c>
      <c r="D25" s="332">
        <v>137.1</v>
      </c>
      <c r="E25" s="329">
        <v>245.2</v>
      </c>
      <c r="F25" s="329">
        <v>122.8</v>
      </c>
      <c r="G25" s="332">
        <v>129.6</v>
      </c>
      <c r="H25" s="329">
        <v>251.6</v>
      </c>
      <c r="I25" s="329">
        <v>117.9</v>
      </c>
      <c r="J25" s="332">
        <v>119.3</v>
      </c>
      <c r="K25" s="341">
        <v>25</v>
      </c>
      <c r="L25" s="342">
        <f t="shared" ref="L25:L32" si="4">I25</f>
        <v>117.9</v>
      </c>
      <c r="M25" s="344">
        <f>(L25/L24)^(1/(K25-K24))</f>
        <v>1.0334816288443833</v>
      </c>
      <c r="N25" s="342">
        <v>589.5</v>
      </c>
      <c r="O25" s="346">
        <f t="shared" ref="O25:O32" si="5">$O$33/$N$33*L25</f>
        <v>382.13050993949867</v>
      </c>
      <c r="P25" s="346">
        <f t="shared" ref="P25:P32" si="6">$P$33/$N$33*L25</f>
        <v>91.71132238547969</v>
      </c>
      <c r="Q25" s="340"/>
      <c r="R25" s="340">
        <v>37</v>
      </c>
      <c r="S25" s="348">
        <f t="shared" ref="S25:S27" si="7">S24*$M$28</f>
        <v>159.65745601539302</v>
      </c>
      <c r="T25" s="348">
        <f t="shared" si="0"/>
        <v>517.47230774219861</v>
      </c>
      <c r="U25" s="348">
        <f t="shared" si="1"/>
        <v>124.19335385812765</v>
      </c>
      <c r="V25" s="340"/>
      <c r="W25" s="340"/>
      <c r="X25" s="340"/>
      <c r="Y25" s="340"/>
    </row>
    <row r="26" spans="1:25" ht="15" thickBot="1" x14ac:dyDescent="0.3">
      <c r="A26" s="331" t="s">
        <v>539</v>
      </c>
      <c r="B26" s="329">
        <v>157.6</v>
      </c>
      <c r="C26" s="329">
        <v>155.69999999999999</v>
      </c>
      <c r="D26" s="332">
        <v>167.8</v>
      </c>
      <c r="E26" s="329">
        <v>296.10000000000002</v>
      </c>
      <c r="F26" s="329">
        <v>148.30000000000001</v>
      </c>
      <c r="G26" s="332">
        <v>156.5</v>
      </c>
      <c r="H26" s="329">
        <v>290.8</v>
      </c>
      <c r="I26" s="329">
        <v>136.30000000000001</v>
      </c>
      <c r="J26" s="332">
        <v>137.9</v>
      </c>
      <c r="K26" s="341">
        <v>30</v>
      </c>
      <c r="L26" s="342">
        <f t="shared" si="4"/>
        <v>136.30000000000001</v>
      </c>
      <c r="M26" s="344">
        <f t="shared" ref="M26:M32" si="8">(L26/L25)^(1/(K26-K25))</f>
        <v>1.0294290274256332</v>
      </c>
      <c r="N26" s="342">
        <v>681.5</v>
      </c>
      <c r="O26" s="346">
        <f t="shared" si="5"/>
        <v>441.76750216076061</v>
      </c>
      <c r="P26" s="346">
        <f t="shared" si="6"/>
        <v>106.02420051858255</v>
      </c>
      <c r="Q26" s="340"/>
      <c r="R26" s="340">
        <v>38</v>
      </c>
      <c r="S26" s="348">
        <f t="shared" si="7"/>
        <v>162.61645805941458</v>
      </c>
      <c r="T26" s="348">
        <f t="shared" si="0"/>
        <v>527.06285023578619</v>
      </c>
      <c r="U26" s="348">
        <f t="shared" si="1"/>
        <v>126.49508405658867</v>
      </c>
      <c r="V26" s="340"/>
      <c r="W26" s="340"/>
      <c r="X26" s="340"/>
      <c r="Y26" s="340"/>
    </row>
    <row r="27" spans="1:25" ht="15" thickBot="1" x14ac:dyDescent="0.3">
      <c r="A27" s="331" t="s">
        <v>540</v>
      </c>
      <c r="B27" s="329">
        <v>175.1</v>
      </c>
      <c r="C27" s="329">
        <v>173</v>
      </c>
      <c r="D27" s="332">
        <v>186.5</v>
      </c>
      <c r="E27" s="329">
        <v>342.4</v>
      </c>
      <c r="F27" s="329">
        <v>171.5</v>
      </c>
      <c r="G27" s="332">
        <v>181</v>
      </c>
      <c r="H27" s="329">
        <v>328.4</v>
      </c>
      <c r="I27" s="329">
        <v>153.9</v>
      </c>
      <c r="J27" s="332">
        <v>155.69999999999999</v>
      </c>
      <c r="K27" s="341">
        <v>35</v>
      </c>
      <c r="L27" s="342">
        <f t="shared" si="4"/>
        <v>153.9</v>
      </c>
      <c r="M27" s="344">
        <f t="shared" si="8"/>
        <v>1.0245863195353115</v>
      </c>
      <c r="N27" s="342">
        <v>769.5</v>
      </c>
      <c r="O27" s="346">
        <f t="shared" si="5"/>
        <v>498.81158167675022</v>
      </c>
      <c r="P27" s="346">
        <f t="shared" si="6"/>
        <v>119.71477960242005</v>
      </c>
      <c r="Q27" s="340"/>
      <c r="R27" s="340">
        <v>39</v>
      </c>
      <c r="S27" s="348">
        <f t="shared" si="7"/>
        <v>165.63030059328887</v>
      </c>
      <c r="T27" s="348">
        <f t="shared" si="0"/>
        <v>536.83113848300195</v>
      </c>
      <c r="U27" s="348">
        <f t="shared" si="1"/>
        <v>128.83947323592042</v>
      </c>
      <c r="V27" s="340"/>
      <c r="W27" s="340"/>
      <c r="X27" s="340"/>
      <c r="Y27" s="340"/>
    </row>
    <row r="28" spans="1:25" ht="15" thickBot="1" x14ac:dyDescent="0.3">
      <c r="A28" s="331" t="s">
        <v>541</v>
      </c>
      <c r="B28" s="329">
        <v>184</v>
      </c>
      <c r="C28" s="329">
        <v>181.8</v>
      </c>
      <c r="D28" s="332">
        <v>196</v>
      </c>
      <c r="E28" s="329">
        <v>378.9</v>
      </c>
      <c r="F28" s="329">
        <v>189.7</v>
      </c>
      <c r="G28" s="332">
        <v>200.3</v>
      </c>
      <c r="H28" s="329">
        <v>360.1</v>
      </c>
      <c r="I28" s="329">
        <v>168.7</v>
      </c>
      <c r="J28" s="332">
        <v>170.7</v>
      </c>
      <c r="K28" s="341">
        <v>40</v>
      </c>
      <c r="L28" s="342">
        <f t="shared" si="4"/>
        <v>168.7</v>
      </c>
      <c r="M28" s="344">
        <f t="shared" si="8"/>
        <v>1.0185334410172255</v>
      </c>
      <c r="N28" s="342">
        <v>843.5</v>
      </c>
      <c r="O28" s="346">
        <f t="shared" si="5"/>
        <v>546.78046672428684</v>
      </c>
      <c r="P28" s="346">
        <f t="shared" si="6"/>
        <v>131.22731201382885</v>
      </c>
      <c r="Q28" s="340"/>
      <c r="R28" s="340">
        <v>40</v>
      </c>
      <c r="S28" s="348">
        <f>$L$28</f>
        <v>168.7</v>
      </c>
      <c r="T28" s="348">
        <f t="shared" si="0"/>
        <v>546.78046672428684</v>
      </c>
      <c r="U28" s="348">
        <f t="shared" si="1"/>
        <v>131.22731201382882</v>
      </c>
      <c r="V28" s="340"/>
      <c r="W28" s="340"/>
      <c r="X28" s="340"/>
      <c r="Y28" s="340"/>
    </row>
    <row r="29" spans="1:25" ht="15" thickBot="1" x14ac:dyDescent="0.3">
      <c r="A29" s="331" t="s">
        <v>542</v>
      </c>
      <c r="B29" s="329">
        <v>186.5</v>
      </c>
      <c r="C29" s="329">
        <v>184.3</v>
      </c>
      <c r="D29" s="332">
        <v>198.6</v>
      </c>
      <c r="E29" s="329">
        <v>411.7</v>
      </c>
      <c r="F29" s="329">
        <v>206.2</v>
      </c>
      <c r="G29" s="332">
        <v>217.6</v>
      </c>
      <c r="H29" s="329">
        <v>390.4</v>
      </c>
      <c r="I29" s="329">
        <v>182.9</v>
      </c>
      <c r="J29" s="332">
        <v>185.1</v>
      </c>
      <c r="K29" s="341">
        <v>45</v>
      </c>
      <c r="L29" s="342">
        <f t="shared" si="4"/>
        <v>182.9</v>
      </c>
      <c r="M29" s="344">
        <f t="shared" si="8"/>
        <v>1.016294849412168</v>
      </c>
      <c r="N29" s="342">
        <v>914.5</v>
      </c>
      <c r="O29" s="346">
        <f t="shared" si="5"/>
        <v>592.80466724286941</v>
      </c>
      <c r="P29" s="346">
        <f t="shared" si="6"/>
        <v>142.27312013828868</v>
      </c>
      <c r="Q29" s="340"/>
      <c r="R29" s="340">
        <v>41</v>
      </c>
      <c r="S29" s="348">
        <f>S28*$M$29</f>
        <v>171.44894109583274</v>
      </c>
      <c r="T29" s="348">
        <f t="shared" si="0"/>
        <v>555.69017209107403</v>
      </c>
      <c r="U29" s="348">
        <f t="shared" si="1"/>
        <v>133.36564130185775</v>
      </c>
      <c r="V29" s="340"/>
      <c r="W29" s="340"/>
      <c r="X29" s="340"/>
      <c r="Y29" s="340"/>
    </row>
    <row r="30" spans="1:25" ht="15" thickBot="1" x14ac:dyDescent="0.3">
      <c r="A30" s="331" t="s">
        <v>543</v>
      </c>
      <c r="B30" s="329">
        <v>187.9</v>
      </c>
      <c r="C30" s="329">
        <v>185.7</v>
      </c>
      <c r="D30" s="332">
        <v>200.1</v>
      </c>
      <c r="E30" s="329">
        <v>423.7</v>
      </c>
      <c r="F30" s="329">
        <v>212.2</v>
      </c>
      <c r="G30" s="332">
        <v>223.9</v>
      </c>
      <c r="H30" s="329">
        <v>423.7</v>
      </c>
      <c r="I30" s="329">
        <v>198.5</v>
      </c>
      <c r="J30" s="332">
        <v>200.9</v>
      </c>
      <c r="K30" s="341">
        <v>50</v>
      </c>
      <c r="L30" s="342">
        <f t="shared" si="4"/>
        <v>198.5</v>
      </c>
      <c r="M30" s="344">
        <f t="shared" si="8"/>
        <v>1.0165046300255522</v>
      </c>
      <c r="N30" s="342">
        <v>992.5</v>
      </c>
      <c r="O30" s="346">
        <f t="shared" si="5"/>
        <v>643.36646499567848</v>
      </c>
      <c r="P30" s="346">
        <f t="shared" si="6"/>
        <v>154.40795159896282</v>
      </c>
      <c r="Q30" s="340"/>
      <c r="R30" s="340">
        <v>42</v>
      </c>
      <c r="S30" s="348">
        <f t="shared" ref="S30:S32" si="9">S29*$M$29</f>
        <v>174.242675772865</v>
      </c>
      <c r="T30" s="348">
        <f t="shared" si="0"/>
        <v>564.74505976511989</v>
      </c>
      <c r="U30" s="348">
        <f t="shared" si="1"/>
        <v>135.53881434362876</v>
      </c>
      <c r="V30" s="340"/>
      <c r="W30" s="340"/>
      <c r="X30" s="340"/>
      <c r="Y30" s="340"/>
    </row>
    <row r="31" spans="1:25" ht="15" thickBot="1" x14ac:dyDescent="0.3">
      <c r="A31" s="331" t="s">
        <v>544</v>
      </c>
      <c r="B31" s="329">
        <v>159.1</v>
      </c>
      <c r="C31" s="329">
        <v>157.19999999999999</v>
      </c>
      <c r="D31" s="332">
        <v>169.4</v>
      </c>
      <c r="E31" s="329">
        <v>386</v>
      </c>
      <c r="F31" s="329">
        <v>193.3</v>
      </c>
      <c r="G31" s="332">
        <v>204</v>
      </c>
      <c r="H31" s="329">
        <v>416.6</v>
      </c>
      <c r="I31" s="329">
        <v>195.2</v>
      </c>
      <c r="J31" s="332">
        <v>197.5</v>
      </c>
      <c r="K31" s="341">
        <v>55</v>
      </c>
      <c r="L31" s="342">
        <f t="shared" si="4"/>
        <v>195.2</v>
      </c>
      <c r="M31" s="344">
        <f t="shared" si="8"/>
        <v>0.99665272941319372</v>
      </c>
      <c r="N31" s="342">
        <v>976</v>
      </c>
      <c r="O31" s="346">
        <f t="shared" si="5"/>
        <v>632.67070008643032</v>
      </c>
      <c r="P31" s="346">
        <f t="shared" si="6"/>
        <v>151.84096802074328</v>
      </c>
      <c r="Q31" s="340"/>
      <c r="R31" s="340">
        <v>43</v>
      </c>
      <c r="S31" s="348">
        <f t="shared" si="9"/>
        <v>177.08193393575704</v>
      </c>
      <c r="T31" s="348">
        <f t="shared" si="0"/>
        <v>573.94749547025833</v>
      </c>
      <c r="U31" s="348">
        <f t="shared" si="1"/>
        <v>137.74739891286197</v>
      </c>
      <c r="V31" s="340"/>
      <c r="W31" s="340"/>
      <c r="X31" s="340"/>
      <c r="Y31" s="340"/>
    </row>
    <row r="32" spans="1:25" ht="15" thickBot="1" x14ac:dyDescent="0.3">
      <c r="A32" s="333" t="s">
        <v>545</v>
      </c>
      <c r="B32" s="334">
        <v>128.69999999999999</v>
      </c>
      <c r="C32" s="334">
        <v>127.2</v>
      </c>
      <c r="D32" s="335">
        <v>137.1</v>
      </c>
      <c r="E32" s="334">
        <v>288.7</v>
      </c>
      <c r="F32" s="334">
        <v>144.6</v>
      </c>
      <c r="G32" s="335">
        <v>152.6</v>
      </c>
      <c r="H32" s="334">
        <v>288.10000000000002</v>
      </c>
      <c r="I32" s="334">
        <v>135</v>
      </c>
      <c r="J32" s="335">
        <v>136.6</v>
      </c>
      <c r="K32" s="341">
        <v>60</v>
      </c>
      <c r="L32" s="342">
        <f t="shared" si="4"/>
        <v>135</v>
      </c>
      <c r="M32" s="344">
        <f t="shared" si="8"/>
        <v>0.9289039101947123</v>
      </c>
      <c r="N32" s="342">
        <v>675</v>
      </c>
      <c r="O32" s="346">
        <f t="shared" si="5"/>
        <v>437.55401901469315</v>
      </c>
      <c r="P32" s="346">
        <f t="shared" si="6"/>
        <v>105.01296456352635</v>
      </c>
      <c r="Q32" s="340"/>
      <c r="R32" s="340">
        <v>44</v>
      </c>
      <c r="S32" s="348">
        <f t="shared" si="9"/>
        <v>179.96745738285568</v>
      </c>
      <c r="T32" s="348">
        <f t="shared" si="0"/>
        <v>583.29988347943709</v>
      </c>
      <c r="U32" s="348">
        <f t="shared" si="1"/>
        <v>139.99197203506489</v>
      </c>
      <c r="V32" s="340"/>
      <c r="W32" s="340"/>
      <c r="X32" s="340"/>
      <c r="Y32" s="340"/>
    </row>
    <row r="33" spans="1:25" ht="15" thickBot="1" x14ac:dyDescent="0.3">
      <c r="A33" s="325"/>
      <c r="B33" s="325"/>
      <c r="C33" s="325"/>
      <c r="D33" s="325"/>
      <c r="E33" s="325"/>
      <c r="F33" s="325"/>
      <c r="G33" s="325"/>
      <c r="H33" s="325"/>
      <c r="I33" s="325"/>
      <c r="J33" s="325"/>
      <c r="K33" s="339"/>
      <c r="L33" s="340"/>
      <c r="M33" s="340"/>
      <c r="N33" s="343">
        <f>SUM(N24:N32)/45</f>
        <v>154.26666666666668</v>
      </c>
      <c r="O33" s="342">
        <f>入力!$F$14</f>
        <v>500</v>
      </c>
      <c r="P33" s="342">
        <f>入力!$K$14</f>
        <v>120</v>
      </c>
      <c r="Q33" s="340"/>
      <c r="R33" s="340">
        <v>45</v>
      </c>
      <c r="S33" s="348">
        <f>$L$29</f>
        <v>182.9</v>
      </c>
      <c r="T33" s="348">
        <f t="shared" si="0"/>
        <v>592.80466724286941</v>
      </c>
      <c r="U33" s="348">
        <f t="shared" si="1"/>
        <v>142.27312013828865</v>
      </c>
      <c r="V33" s="340"/>
      <c r="W33" s="340"/>
      <c r="X33" s="340"/>
      <c r="Y33" s="340"/>
    </row>
    <row r="34" spans="1:25" ht="15" thickBot="1" x14ac:dyDescent="0.3">
      <c r="A34" s="328" t="s">
        <v>547</v>
      </c>
      <c r="B34" s="328"/>
      <c r="C34" s="328"/>
      <c r="D34" s="328"/>
      <c r="E34" s="328"/>
      <c r="F34" s="328"/>
      <c r="G34" s="328"/>
      <c r="H34" s="328"/>
      <c r="I34" s="328"/>
      <c r="J34" s="328"/>
      <c r="K34" s="339"/>
      <c r="L34" s="340"/>
      <c r="M34" s="340"/>
      <c r="N34" s="340"/>
      <c r="O34" s="340"/>
      <c r="P34" s="340"/>
      <c r="Q34" s="340"/>
      <c r="R34" s="340">
        <v>46</v>
      </c>
      <c r="S34" s="348">
        <f>S33*$M$30</f>
        <v>185.91869683167351</v>
      </c>
      <c r="T34" s="348">
        <f t="shared" si="0"/>
        <v>602.58868895313367</v>
      </c>
      <c r="U34" s="348">
        <f t="shared" si="1"/>
        <v>144.62128534875205</v>
      </c>
      <c r="V34" s="340"/>
      <c r="W34" s="340"/>
      <c r="X34" s="340"/>
      <c r="Y34" s="340"/>
    </row>
    <row r="35" spans="1:25" ht="15" thickBot="1" x14ac:dyDescent="0.3">
      <c r="A35" s="373" t="s">
        <v>17</v>
      </c>
      <c r="B35" s="375" t="s">
        <v>529</v>
      </c>
      <c r="C35" s="376"/>
      <c r="D35" s="377"/>
      <c r="E35" s="375" t="s">
        <v>530</v>
      </c>
      <c r="F35" s="376"/>
      <c r="G35" s="377"/>
      <c r="H35" s="375" t="s">
        <v>531</v>
      </c>
      <c r="I35" s="376"/>
      <c r="J35" s="377"/>
      <c r="K35" s="339"/>
      <c r="L35" s="340"/>
      <c r="M35" s="340"/>
      <c r="N35" s="340"/>
      <c r="O35" s="340"/>
      <c r="P35" s="340"/>
      <c r="Q35" s="340"/>
      <c r="R35" s="340">
        <v>47</v>
      </c>
      <c r="S35" s="348">
        <f t="shared" ref="S35:S37" si="10">S34*$M$30</f>
        <v>188.98721613771309</v>
      </c>
      <c r="T35" s="348">
        <f t="shared" si="0"/>
        <v>612.53419232188764</v>
      </c>
      <c r="U35" s="348">
        <f t="shared" si="1"/>
        <v>147.00820615725303</v>
      </c>
      <c r="V35" s="340"/>
      <c r="W35" s="340"/>
      <c r="X35" s="340"/>
      <c r="Y35" s="340"/>
    </row>
    <row r="36" spans="1:25" ht="43.5" thickBot="1" x14ac:dyDescent="0.3">
      <c r="A36" s="374"/>
      <c r="B36" s="330" t="s">
        <v>532</v>
      </c>
      <c r="C36" s="330" t="s">
        <v>533</v>
      </c>
      <c r="D36" s="330" t="s">
        <v>534</v>
      </c>
      <c r="E36" s="330" t="s">
        <v>532</v>
      </c>
      <c r="F36" s="330" t="s">
        <v>533</v>
      </c>
      <c r="G36" s="330" t="s">
        <v>534</v>
      </c>
      <c r="H36" s="330" t="s">
        <v>532</v>
      </c>
      <c r="I36" s="330" t="s">
        <v>533</v>
      </c>
      <c r="J36" s="330" t="s">
        <v>534</v>
      </c>
      <c r="K36" s="339"/>
      <c r="L36" s="340"/>
      <c r="M36" s="340"/>
      <c r="N36" s="340"/>
      <c r="O36" s="340"/>
      <c r="P36" s="340"/>
      <c r="Q36" s="340"/>
      <c r="R36" s="340">
        <v>48</v>
      </c>
      <c r="S36" s="348">
        <f t="shared" si="10"/>
        <v>192.10638021962512</v>
      </c>
      <c r="T36" s="348">
        <f t="shared" si="0"/>
        <v>622.64384254416086</v>
      </c>
      <c r="U36" s="348">
        <f t="shared" si="1"/>
        <v>149.4345222105986</v>
      </c>
      <c r="V36" s="340"/>
      <c r="W36" s="340"/>
      <c r="X36" s="340"/>
      <c r="Y36" s="340"/>
    </row>
    <row r="37" spans="1:25" ht="15" thickBot="1" x14ac:dyDescent="0.3">
      <c r="A37" s="331" t="s">
        <v>535</v>
      </c>
      <c r="B37" s="329">
        <v>89.1</v>
      </c>
      <c r="C37" s="329">
        <v>102.6</v>
      </c>
      <c r="D37" s="332">
        <v>94.9</v>
      </c>
      <c r="E37" s="329">
        <v>206.2</v>
      </c>
      <c r="F37" s="329">
        <v>115.1</v>
      </c>
      <c r="G37" s="332">
        <v>109</v>
      </c>
      <c r="H37" s="329">
        <v>251</v>
      </c>
      <c r="I37" s="329">
        <v>120.6</v>
      </c>
      <c r="J37" s="332">
        <v>119</v>
      </c>
      <c r="K37" s="339"/>
      <c r="L37" s="340"/>
      <c r="M37" s="340"/>
      <c r="N37" s="340"/>
      <c r="O37" s="340"/>
      <c r="P37" s="340"/>
      <c r="Q37" s="340"/>
      <c r="R37" s="340">
        <v>49</v>
      </c>
      <c r="S37" s="348">
        <f t="shared" si="10"/>
        <v>195.27702495069809</v>
      </c>
      <c r="T37" s="348">
        <f t="shared" si="0"/>
        <v>632.92034880304038</v>
      </c>
      <c r="U37" s="348">
        <f t="shared" si="1"/>
        <v>151.90088371272969</v>
      </c>
      <c r="V37" s="340"/>
      <c r="W37" s="340"/>
      <c r="X37" s="340"/>
      <c r="Y37" s="340"/>
    </row>
    <row r="38" spans="1:25" ht="15" thickBot="1" x14ac:dyDescent="0.3">
      <c r="A38" s="331" t="s">
        <v>536</v>
      </c>
      <c r="B38" s="329">
        <v>74.3</v>
      </c>
      <c r="C38" s="329">
        <v>85.6</v>
      </c>
      <c r="D38" s="332">
        <v>79.099999999999994</v>
      </c>
      <c r="E38" s="329">
        <v>152.69999999999999</v>
      </c>
      <c r="F38" s="329">
        <v>85.2</v>
      </c>
      <c r="G38" s="332">
        <v>80.7</v>
      </c>
      <c r="H38" s="329">
        <v>172.4</v>
      </c>
      <c r="I38" s="329">
        <v>82.8</v>
      </c>
      <c r="J38" s="332">
        <v>81.7</v>
      </c>
      <c r="K38" s="339"/>
      <c r="L38" s="340"/>
      <c r="M38" s="340"/>
      <c r="N38" s="340"/>
      <c r="O38" s="340"/>
      <c r="P38" s="340"/>
      <c r="Q38" s="340"/>
      <c r="R38" s="340">
        <v>50</v>
      </c>
      <c r="S38" s="348">
        <f>$L$30</f>
        <v>198.5</v>
      </c>
      <c r="T38" s="348">
        <f t="shared" si="0"/>
        <v>643.36646499567848</v>
      </c>
      <c r="U38" s="348">
        <f t="shared" si="1"/>
        <v>154.4079515989628</v>
      </c>
      <c r="V38" s="340"/>
      <c r="W38" s="340"/>
      <c r="X38" s="340"/>
      <c r="Y38" s="340"/>
    </row>
    <row r="39" spans="1:25" ht="15" thickBot="1" x14ac:dyDescent="0.3">
      <c r="A39" s="331" t="s">
        <v>537</v>
      </c>
      <c r="B39" s="329">
        <v>86.8</v>
      </c>
      <c r="C39" s="329">
        <v>100</v>
      </c>
      <c r="D39" s="332">
        <v>92.4</v>
      </c>
      <c r="E39" s="329">
        <v>179.2</v>
      </c>
      <c r="F39" s="329">
        <v>100</v>
      </c>
      <c r="G39" s="332">
        <v>94.7</v>
      </c>
      <c r="H39" s="329">
        <v>208.1</v>
      </c>
      <c r="I39" s="329">
        <v>100</v>
      </c>
      <c r="J39" s="332">
        <v>98.7</v>
      </c>
      <c r="K39" s="339"/>
      <c r="L39" s="340"/>
      <c r="M39" s="340"/>
      <c r="N39" s="340"/>
      <c r="O39" s="340"/>
      <c r="P39" s="340"/>
      <c r="Q39" s="340"/>
      <c r="R39" s="340">
        <v>51</v>
      </c>
      <c r="S39" s="348">
        <f>S38*$M$31</f>
        <v>197.83556678851895</v>
      </c>
      <c r="T39" s="348">
        <f t="shared" si="0"/>
        <v>641.21294335086088</v>
      </c>
      <c r="U39" s="348">
        <f t="shared" si="1"/>
        <v>153.89110640420657</v>
      </c>
      <c r="V39" s="340"/>
      <c r="W39" s="340"/>
      <c r="X39" s="340"/>
      <c r="Y39" s="340"/>
    </row>
    <row r="40" spans="1:25" ht="15" thickBot="1" x14ac:dyDescent="0.3">
      <c r="A40" s="331" t="s">
        <v>538</v>
      </c>
      <c r="B40" s="329">
        <v>94.3</v>
      </c>
      <c r="C40" s="329">
        <v>108.6</v>
      </c>
      <c r="D40" s="332">
        <v>100.4</v>
      </c>
      <c r="E40" s="329">
        <v>205.8</v>
      </c>
      <c r="F40" s="329">
        <v>114.8</v>
      </c>
      <c r="G40" s="332">
        <v>108.8</v>
      </c>
      <c r="H40" s="329">
        <v>232.9</v>
      </c>
      <c r="I40" s="329">
        <v>111.9</v>
      </c>
      <c r="J40" s="332">
        <v>110.4</v>
      </c>
      <c r="K40" s="339"/>
      <c r="L40" s="340"/>
      <c r="M40" s="340"/>
      <c r="N40" s="340"/>
      <c r="O40" s="340"/>
      <c r="P40" s="340"/>
      <c r="Q40" s="340"/>
      <c r="R40" s="340">
        <v>52</v>
      </c>
      <c r="S40" s="348">
        <f t="shared" ref="S40:S42" si="11">S39*$M$31</f>
        <v>197.17335761478358</v>
      </c>
      <c r="T40" s="348">
        <f t="shared" si="0"/>
        <v>639.066630125703</v>
      </c>
      <c r="U40" s="348">
        <f t="shared" si="1"/>
        <v>153.37599123016869</v>
      </c>
      <c r="V40" s="340"/>
      <c r="W40" s="340"/>
      <c r="X40" s="340"/>
      <c r="Y40" s="340"/>
    </row>
    <row r="41" spans="1:25" ht="15" thickBot="1" x14ac:dyDescent="0.3">
      <c r="A41" s="331" t="s">
        <v>539</v>
      </c>
      <c r="B41" s="329">
        <v>93.7</v>
      </c>
      <c r="C41" s="329">
        <v>107.9</v>
      </c>
      <c r="D41" s="332">
        <v>99.8</v>
      </c>
      <c r="E41" s="329">
        <v>224.4</v>
      </c>
      <c r="F41" s="329">
        <v>125.2</v>
      </c>
      <c r="G41" s="332">
        <v>118.6</v>
      </c>
      <c r="H41" s="329">
        <v>247.4</v>
      </c>
      <c r="I41" s="329">
        <v>118.9</v>
      </c>
      <c r="J41" s="332">
        <v>117.3</v>
      </c>
      <c r="K41" s="339"/>
      <c r="L41" s="340"/>
      <c r="M41" s="340"/>
      <c r="N41" s="340"/>
      <c r="O41" s="340"/>
      <c r="P41" s="340"/>
      <c r="Q41" s="340"/>
      <c r="R41" s="340">
        <v>53</v>
      </c>
      <c r="S41" s="348">
        <f t="shared" si="11"/>
        <v>196.5133650343378</v>
      </c>
      <c r="T41" s="348">
        <f t="shared" si="0"/>
        <v>636.92750119167385</v>
      </c>
      <c r="U41" s="348">
        <f t="shared" si="1"/>
        <v>152.86260028600171</v>
      </c>
      <c r="V41" s="340"/>
      <c r="W41" s="340"/>
      <c r="X41" s="340"/>
      <c r="Y41" s="340"/>
    </row>
    <row r="42" spans="1:25" ht="15" thickBot="1" x14ac:dyDescent="0.3">
      <c r="A42" s="331" t="s">
        <v>540</v>
      </c>
      <c r="B42" s="329">
        <v>89.3</v>
      </c>
      <c r="C42" s="329">
        <v>102.9</v>
      </c>
      <c r="D42" s="332">
        <v>95.1</v>
      </c>
      <c r="E42" s="329">
        <v>227.2</v>
      </c>
      <c r="F42" s="329">
        <v>126.8</v>
      </c>
      <c r="G42" s="332">
        <v>120.1</v>
      </c>
      <c r="H42" s="329">
        <v>256.2</v>
      </c>
      <c r="I42" s="329">
        <v>123.1</v>
      </c>
      <c r="J42" s="332">
        <v>121.5</v>
      </c>
      <c r="K42" s="339"/>
      <c r="L42" s="340"/>
      <c r="M42" s="340"/>
      <c r="N42" s="340"/>
      <c r="O42" s="340"/>
      <c r="P42" s="340"/>
      <c r="Q42" s="340"/>
      <c r="R42" s="340">
        <v>54</v>
      </c>
      <c r="S42" s="348">
        <f t="shared" si="11"/>
        <v>195.85558162764403</v>
      </c>
      <c r="T42" s="348">
        <f t="shared" si="0"/>
        <v>634.79553250100696</v>
      </c>
      <c r="U42" s="348">
        <f t="shared" si="1"/>
        <v>152.35092780024164</v>
      </c>
      <c r="V42" s="340"/>
      <c r="W42" s="340"/>
      <c r="X42" s="340"/>
      <c r="Y42" s="340"/>
    </row>
    <row r="43" spans="1:25" ht="15" thickBot="1" x14ac:dyDescent="0.3">
      <c r="A43" s="331" t="s">
        <v>541</v>
      </c>
      <c r="B43" s="329">
        <v>89.7</v>
      </c>
      <c r="C43" s="329">
        <v>103.3</v>
      </c>
      <c r="D43" s="332">
        <v>95.5</v>
      </c>
      <c r="E43" s="329">
        <v>225.2</v>
      </c>
      <c r="F43" s="329">
        <v>125.7</v>
      </c>
      <c r="G43" s="332">
        <v>119</v>
      </c>
      <c r="H43" s="329">
        <v>268.60000000000002</v>
      </c>
      <c r="I43" s="329">
        <v>129.1</v>
      </c>
      <c r="J43" s="332">
        <v>127.4</v>
      </c>
      <c r="K43" s="339"/>
      <c r="L43" s="340"/>
      <c r="M43" s="340"/>
      <c r="N43" s="340"/>
      <c r="O43" s="340"/>
      <c r="P43" s="340"/>
      <c r="Q43" s="340"/>
      <c r="R43" s="340">
        <v>55</v>
      </c>
      <c r="S43" s="348">
        <f>$L$31</f>
        <v>195.2</v>
      </c>
      <c r="T43" s="348">
        <f t="shared" si="0"/>
        <v>632.67070008643032</v>
      </c>
      <c r="U43" s="348">
        <f t="shared" si="1"/>
        <v>151.84096802074325</v>
      </c>
      <c r="V43" s="340"/>
      <c r="W43" s="340"/>
      <c r="X43" s="340"/>
      <c r="Y43" s="340"/>
    </row>
    <row r="44" spans="1:25" ht="15" thickBot="1" x14ac:dyDescent="0.3">
      <c r="A44" s="331" t="s">
        <v>542</v>
      </c>
      <c r="B44" s="329">
        <v>94.4</v>
      </c>
      <c r="C44" s="329">
        <v>108.8</v>
      </c>
      <c r="D44" s="332">
        <v>100.5</v>
      </c>
      <c r="E44" s="329">
        <v>222.8</v>
      </c>
      <c r="F44" s="329">
        <v>124.3</v>
      </c>
      <c r="G44" s="332">
        <v>117.8</v>
      </c>
      <c r="H44" s="329">
        <v>271.60000000000002</v>
      </c>
      <c r="I44" s="329">
        <v>130.5</v>
      </c>
      <c r="J44" s="332">
        <v>128.80000000000001</v>
      </c>
      <c r="K44" s="339"/>
      <c r="L44" s="340"/>
      <c r="M44" s="340"/>
      <c r="N44" s="340"/>
      <c r="O44" s="340"/>
      <c r="P44" s="340"/>
      <c r="Q44" s="340"/>
      <c r="R44" s="340">
        <v>56</v>
      </c>
      <c r="S44" s="348">
        <f>S43*$M$32</f>
        <v>181.32204327000784</v>
      </c>
      <c r="T44" s="348">
        <f t="shared" si="0"/>
        <v>587.69028717591129</v>
      </c>
      <c r="U44" s="348">
        <f t="shared" si="1"/>
        <v>141.04566892221868</v>
      </c>
      <c r="V44" s="340"/>
      <c r="W44" s="340"/>
      <c r="X44" s="340"/>
      <c r="Y44" s="340"/>
    </row>
    <row r="45" spans="1:25" ht="15" thickBot="1" x14ac:dyDescent="0.3">
      <c r="A45" s="331" t="s">
        <v>543</v>
      </c>
      <c r="B45" s="329">
        <v>95.1</v>
      </c>
      <c r="C45" s="329">
        <v>109.6</v>
      </c>
      <c r="D45" s="332">
        <v>101.3</v>
      </c>
      <c r="E45" s="329">
        <v>220.5</v>
      </c>
      <c r="F45" s="329">
        <v>123</v>
      </c>
      <c r="G45" s="332">
        <v>116.5</v>
      </c>
      <c r="H45" s="329">
        <v>275.8</v>
      </c>
      <c r="I45" s="329">
        <v>132.5</v>
      </c>
      <c r="J45" s="332">
        <v>130.80000000000001</v>
      </c>
      <c r="K45" s="339"/>
      <c r="L45" s="340"/>
      <c r="M45" s="340"/>
      <c r="N45" s="340"/>
      <c r="O45" s="340"/>
      <c r="P45" s="340"/>
      <c r="Q45" s="340"/>
      <c r="R45" s="340">
        <v>57</v>
      </c>
      <c r="S45" s="348">
        <f t="shared" ref="S45:S48" si="12">S44*$M$32</f>
        <v>168.43075499800511</v>
      </c>
      <c r="T45" s="348">
        <f t="shared" si="0"/>
        <v>545.9078057411574</v>
      </c>
      <c r="U45" s="348">
        <f t="shared" si="1"/>
        <v>131.01787337787775</v>
      </c>
      <c r="V45" s="340"/>
      <c r="W45" s="340"/>
      <c r="X45" s="340"/>
      <c r="Y45" s="340"/>
    </row>
    <row r="46" spans="1:25" ht="15" thickBot="1" x14ac:dyDescent="0.3">
      <c r="A46" s="331" t="s">
        <v>544</v>
      </c>
      <c r="B46" s="329">
        <v>92.2</v>
      </c>
      <c r="C46" s="329">
        <v>106.2</v>
      </c>
      <c r="D46" s="332">
        <v>98.2</v>
      </c>
      <c r="E46" s="329">
        <v>211.8</v>
      </c>
      <c r="F46" s="329">
        <v>118.2</v>
      </c>
      <c r="G46" s="332">
        <v>111.9</v>
      </c>
      <c r="H46" s="329">
        <v>266.8</v>
      </c>
      <c r="I46" s="329">
        <v>128.19999999999999</v>
      </c>
      <c r="J46" s="332">
        <v>126.5</v>
      </c>
      <c r="K46" s="339"/>
      <c r="L46" s="340"/>
      <c r="M46" s="340"/>
      <c r="N46" s="340"/>
      <c r="O46" s="340"/>
      <c r="P46" s="340"/>
      <c r="Q46" s="340"/>
      <c r="R46" s="340">
        <v>58</v>
      </c>
      <c r="S46" s="348">
        <f t="shared" si="12"/>
        <v>156.45598691469453</v>
      </c>
      <c r="T46" s="348">
        <f t="shared" si="0"/>
        <v>507.09589535877654</v>
      </c>
      <c r="U46" s="348">
        <f t="shared" si="1"/>
        <v>121.70301488610635</v>
      </c>
      <c r="V46" s="340"/>
      <c r="W46" s="340"/>
      <c r="X46" s="340"/>
      <c r="Y46" s="340"/>
    </row>
    <row r="47" spans="1:25" ht="15" thickBot="1" x14ac:dyDescent="0.3">
      <c r="A47" s="333" t="s">
        <v>545</v>
      </c>
      <c r="B47" s="334">
        <v>84.9</v>
      </c>
      <c r="C47" s="334">
        <v>97.8</v>
      </c>
      <c r="D47" s="335">
        <v>90.4</v>
      </c>
      <c r="E47" s="334">
        <v>196.9</v>
      </c>
      <c r="F47" s="334">
        <v>109.9</v>
      </c>
      <c r="G47" s="335">
        <v>104.1</v>
      </c>
      <c r="H47" s="334">
        <v>224.3</v>
      </c>
      <c r="I47" s="334">
        <v>107.8</v>
      </c>
      <c r="J47" s="335">
        <v>106.4</v>
      </c>
      <c r="K47" s="339"/>
      <c r="L47" s="340"/>
      <c r="M47" s="340"/>
      <c r="N47" s="340"/>
      <c r="O47" s="340"/>
      <c r="P47" s="340"/>
      <c r="Q47" s="340"/>
      <c r="R47" s="340">
        <v>59</v>
      </c>
      <c r="S47" s="348">
        <f t="shared" si="12"/>
        <v>145.33257801843249</v>
      </c>
      <c r="T47" s="348">
        <f t="shared" si="0"/>
        <v>471.04336004245619</v>
      </c>
      <c r="U47" s="348">
        <f t="shared" si="1"/>
        <v>113.05040641018947</v>
      </c>
      <c r="V47" s="340"/>
      <c r="W47" s="340"/>
      <c r="X47" s="340"/>
      <c r="Y47" s="340"/>
    </row>
    <row r="48" spans="1:25" ht="15" thickBot="1" x14ac:dyDescent="0.3">
      <c r="A48" s="325"/>
      <c r="B48" s="325"/>
      <c r="C48" s="325"/>
      <c r="D48" s="325"/>
      <c r="E48" s="325"/>
      <c r="F48" s="325"/>
      <c r="G48" s="325"/>
      <c r="H48" s="325"/>
      <c r="I48" s="325"/>
      <c r="J48" s="325"/>
      <c r="K48" s="339"/>
      <c r="L48" s="340"/>
      <c r="M48" s="340"/>
      <c r="N48" s="340"/>
      <c r="O48" s="340"/>
      <c r="P48" s="340"/>
      <c r="Q48" s="340"/>
      <c r="R48" s="340">
        <v>60</v>
      </c>
      <c r="S48" s="348">
        <f t="shared" si="12"/>
        <v>135.00000000000003</v>
      </c>
      <c r="T48" s="348">
        <f t="shared" si="0"/>
        <v>437.55401901469321</v>
      </c>
      <c r="U48" s="348">
        <f t="shared" si="1"/>
        <v>105.01296456352635</v>
      </c>
      <c r="V48" s="340"/>
      <c r="W48" s="340"/>
      <c r="X48" s="340"/>
      <c r="Y48" s="340"/>
    </row>
    <row r="49" spans="1:25" ht="85.5" customHeight="1" thickBot="1" x14ac:dyDescent="0.3">
      <c r="A49" s="381" t="s">
        <v>548</v>
      </c>
      <c r="B49" s="382"/>
      <c r="C49" s="382"/>
      <c r="D49" s="382"/>
      <c r="E49" s="382"/>
      <c r="F49" s="382"/>
      <c r="G49" s="382"/>
      <c r="H49" s="382"/>
      <c r="I49" s="382"/>
      <c r="J49" s="383"/>
      <c r="K49" s="339"/>
      <c r="L49" s="340"/>
      <c r="M49" s="340"/>
      <c r="N49" s="340"/>
      <c r="O49" s="340"/>
      <c r="P49" s="340"/>
      <c r="Q49" s="340"/>
      <c r="R49" s="340">
        <v>61</v>
      </c>
      <c r="S49" s="348">
        <f>S48</f>
        <v>135.00000000000003</v>
      </c>
      <c r="T49" s="348">
        <f t="shared" si="0"/>
        <v>437.55401901469321</v>
      </c>
      <c r="U49" s="348">
        <f t="shared" si="1"/>
        <v>105.01296456352635</v>
      </c>
      <c r="V49" s="340"/>
      <c r="W49" s="340"/>
      <c r="X49" s="340"/>
      <c r="Y49" s="340"/>
    </row>
    <row r="50" spans="1:25" ht="15" thickBot="1" x14ac:dyDescent="0.3">
      <c r="A50" s="325"/>
      <c r="B50" s="325"/>
      <c r="C50" s="325"/>
      <c r="D50" s="325"/>
      <c r="E50" s="325"/>
      <c r="F50" s="325"/>
      <c r="G50" s="325"/>
      <c r="H50" s="325"/>
      <c r="I50" s="325"/>
      <c r="J50" s="325"/>
      <c r="K50" s="339"/>
      <c r="L50" s="340"/>
      <c r="M50" s="340"/>
      <c r="N50" s="340"/>
      <c r="O50" s="340"/>
      <c r="P50" s="340"/>
      <c r="Q50" s="340"/>
      <c r="R50" s="340">
        <v>62</v>
      </c>
      <c r="S50" s="348">
        <f t="shared" ref="S50:S53" si="13">S49</f>
        <v>135.00000000000003</v>
      </c>
      <c r="T50" s="348">
        <f t="shared" si="0"/>
        <v>437.55401901469321</v>
      </c>
      <c r="U50" s="348">
        <f t="shared" si="1"/>
        <v>105.01296456352635</v>
      </c>
      <c r="V50" s="340"/>
      <c r="W50" s="340"/>
      <c r="X50" s="340"/>
      <c r="Y50" s="340"/>
    </row>
    <row r="51" spans="1:25" ht="15" thickBot="1" x14ac:dyDescent="0.3">
      <c r="A51" s="325"/>
      <c r="B51" s="325"/>
      <c r="C51" s="325"/>
      <c r="D51" s="325"/>
      <c r="E51" s="325"/>
      <c r="F51" s="325"/>
      <c r="G51" s="325"/>
      <c r="H51" s="325"/>
      <c r="I51" s="325"/>
      <c r="J51" s="325"/>
      <c r="K51" s="339"/>
      <c r="L51" s="340"/>
      <c r="M51" s="340"/>
      <c r="N51" s="340"/>
      <c r="O51" s="340"/>
      <c r="P51" s="340"/>
      <c r="Q51" s="340"/>
      <c r="R51" s="340">
        <v>63</v>
      </c>
      <c r="S51" s="348">
        <f t="shared" si="13"/>
        <v>135.00000000000003</v>
      </c>
      <c r="T51" s="348">
        <f t="shared" si="0"/>
        <v>437.55401901469321</v>
      </c>
      <c r="U51" s="348">
        <f t="shared" si="1"/>
        <v>105.01296456352635</v>
      </c>
      <c r="V51" s="340"/>
      <c r="W51" s="340"/>
      <c r="X51" s="340"/>
      <c r="Y51" s="340"/>
    </row>
    <row r="52" spans="1:25" ht="15" thickBot="1" x14ac:dyDescent="0.3">
      <c r="A52" s="325"/>
      <c r="B52" s="325"/>
      <c r="C52" s="325"/>
      <c r="D52" s="325"/>
      <c r="E52" s="325"/>
      <c r="F52" s="325"/>
      <c r="G52" s="325"/>
      <c r="H52" s="325"/>
      <c r="I52" s="325"/>
      <c r="J52" s="325"/>
      <c r="K52" s="339"/>
      <c r="L52" s="340"/>
      <c r="M52" s="340"/>
      <c r="N52" s="340"/>
      <c r="O52" s="340"/>
      <c r="P52" s="340"/>
      <c r="Q52" s="340"/>
      <c r="R52" s="340">
        <v>64</v>
      </c>
      <c r="S52" s="348">
        <f t="shared" si="13"/>
        <v>135.00000000000003</v>
      </c>
      <c r="T52" s="348">
        <f t="shared" si="0"/>
        <v>437.55401901469321</v>
      </c>
      <c r="U52" s="348">
        <f t="shared" si="1"/>
        <v>105.01296456352635</v>
      </c>
      <c r="V52" s="340"/>
      <c r="W52" s="340"/>
      <c r="X52" s="340"/>
      <c r="Y52" s="340"/>
    </row>
    <row r="53" spans="1:25" ht="15" thickBot="1" x14ac:dyDescent="0.3">
      <c r="A53" s="325"/>
      <c r="B53" s="325"/>
      <c r="C53" s="325"/>
      <c r="D53" s="325"/>
      <c r="E53" s="325"/>
      <c r="F53" s="325"/>
      <c r="G53" s="325"/>
      <c r="H53" s="325"/>
      <c r="I53" s="325"/>
      <c r="J53" s="325"/>
      <c r="K53" s="339"/>
      <c r="L53" s="340"/>
      <c r="M53" s="340"/>
      <c r="N53" s="340"/>
      <c r="O53" s="340"/>
      <c r="P53" s="340"/>
      <c r="Q53" s="340"/>
      <c r="R53" s="340">
        <v>65</v>
      </c>
      <c r="S53" s="348">
        <f t="shared" si="13"/>
        <v>135.00000000000003</v>
      </c>
      <c r="T53" s="348">
        <f t="shared" si="0"/>
        <v>437.55401901469321</v>
      </c>
      <c r="U53" s="348">
        <f t="shared" si="1"/>
        <v>105.01296456352635</v>
      </c>
      <c r="V53" s="340"/>
      <c r="W53" s="340"/>
      <c r="X53" s="340"/>
      <c r="Y53" s="340"/>
    </row>
    <row r="54" spans="1:25" ht="15" thickBot="1" x14ac:dyDescent="0.3">
      <c r="A54" s="325"/>
      <c r="B54" s="325"/>
      <c r="C54" s="325"/>
      <c r="D54" s="325"/>
      <c r="E54" s="325"/>
      <c r="F54" s="325"/>
      <c r="G54" s="325"/>
      <c r="H54" s="325"/>
      <c r="I54" s="325"/>
      <c r="J54" s="325"/>
      <c r="K54" s="339"/>
      <c r="L54" s="340"/>
      <c r="M54" s="340"/>
      <c r="N54" s="340"/>
      <c r="O54" s="340"/>
      <c r="P54" s="340"/>
      <c r="Q54" s="340"/>
      <c r="R54" s="340">
        <v>66</v>
      </c>
      <c r="S54" s="348">
        <f t="shared" ref="S54:S88" si="14">S53</f>
        <v>135.00000000000003</v>
      </c>
      <c r="T54" s="348">
        <f t="shared" ref="T54" si="15">$O$24/$L$24*S54</f>
        <v>437.55401901469321</v>
      </c>
      <c r="U54" s="348">
        <f t="shared" ref="U54:U88" si="16">$P$24/$L$24*S54</f>
        <v>105.01296456352635</v>
      </c>
      <c r="V54" s="340"/>
      <c r="W54" s="340"/>
      <c r="X54" s="340"/>
      <c r="Y54" s="340"/>
    </row>
    <row r="55" spans="1:25" ht="15" thickBot="1" x14ac:dyDescent="0.3">
      <c r="A55" s="325"/>
      <c r="B55" s="325"/>
      <c r="C55" s="325"/>
      <c r="D55" s="325"/>
      <c r="E55" s="325"/>
      <c r="F55" s="325"/>
      <c r="G55" s="325"/>
      <c r="H55" s="325"/>
      <c r="I55" s="325"/>
      <c r="J55" s="325"/>
      <c r="K55" s="339"/>
      <c r="L55" s="340"/>
      <c r="M55" s="340"/>
      <c r="N55" s="340"/>
      <c r="O55" s="340"/>
      <c r="P55" s="340"/>
      <c r="Q55" s="340"/>
      <c r="R55" s="340">
        <v>67</v>
      </c>
      <c r="S55" s="348">
        <f t="shared" si="14"/>
        <v>135.00000000000003</v>
      </c>
      <c r="T55" s="348">
        <f t="shared" ref="T55" si="17">$O$24/$L$24*S55</f>
        <v>437.55401901469321</v>
      </c>
      <c r="U55" s="348">
        <f t="shared" si="16"/>
        <v>105.01296456352635</v>
      </c>
      <c r="V55" s="340"/>
      <c r="W55" s="340"/>
      <c r="X55" s="340"/>
      <c r="Y55" s="340"/>
    </row>
    <row r="56" spans="1:25" ht="15" thickBot="1" x14ac:dyDescent="0.3">
      <c r="A56" s="325"/>
      <c r="B56" s="325"/>
      <c r="C56" s="325"/>
      <c r="D56" s="325"/>
      <c r="E56" s="325"/>
      <c r="F56" s="325"/>
      <c r="G56" s="325"/>
      <c r="H56" s="325"/>
      <c r="I56" s="325"/>
      <c r="J56" s="325"/>
      <c r="K56" s="339"/>
      <c r="L56" s="340"/>
      <c r="M56" s="340"/>
      <c r="N56" s="340"/>
      <c r="O56" s="340"/>
      <c r="P56" s="340"/>
      <c r="Q56" s="340"/>
      <c r="R56" s="340">
        <v>68</v>
      </c>
      <c r="S56" s="348">
        <f t="shared" si="14"/>
        <v>135.00000000000003</v>
      </c>
      <c r="T56" s="348">
        <f t="shared" ref="T56" si="18">$O$24/$L$24*S56</f>
        <v>437.55401901469321</v>
      </c>
      <c r="U56" s="348">
        <f t="shared" si="16"/>
        <v>105.01296456352635</v>
      </c>
      <c r="V56" s="340"/>
      <c r="W56" s="340"/>
      <c r="X56" s="340"/>
      <c r="Y56" s="340"/>
    </row>
    <row r="57" spans="1:25" ht="15" thickBot="1" x14ac:dyDescent="0.3">
      <c r="A57" s="325"/>
      <c r="B57" s="325"/>
      <c r="C57" s="325"/>
      <c r="D57" s="325"/>
      <c r="E57" s="325"/>
      <c r="F57" s="325"/>
      <c r="G57" s="325"/>
      <c r="H57" s="325"/>
      <c r="I57" s="325"/>
      <c r="J57" s="325"/>
      <c r="K57" s="339"/>
      <c r="L57" s="340"/>
      <c r="M57" s="340"/>
      <c r="N57" s="340"/>
      <c r="O57" s="340"/>
      <c r="P57" s="340"/>
      <c r="Q57" s="340"/>
      <c r="R57" s="340">
        <v>69</v>
      </c>
      <c r="S57" s="348">
        <f t="shared" si="14"/>
        <v>135.00000000000003</v>
      </c>
      <c r="T57" s="348">
        <f t="shared" ref="T57" si="19">$O$24/$L$24*S57</f>
        <v>437.55401901469321</v>
      </c>
      <c r="U57" s="348">
        <f t="shared" si="16"/>
        <v>105.01296456352635</v>
      </c>
      <c r="V57" s="340"/>
      <c r="W57" s="340"/>
      <c r="X57" s="340"/>
      <c r="Y57" s="340"/>
    </row>
    <row r="58" spans="1:25" ht="15" thickBot="1" x14ac:dyDescent="0.3">
      <c r="A58" s="325"/>
      <c r="B58" s="325"/>
      <c r="C58" s="325"/>
      <c r="D58" s="325"/>
      <c r="E58" s="325"/>
      <c r="F58" s="325"/>
      <c r="G58" s="325"/>
      <c r="H58" s="325"/>
      <c r="I58" s="325"/>
      <c r="J58" s="325"/>
      <c r="K58" s="339"/>
      <c r="L58" s="340"/>
      <c r="M58" s="340"/>
      <c r="N58" s="340"/>
      <c r="O58" s="340"/>
      <c r="P58" s="340"/>
      <c r="Q58" s="340"/>
      <c r="R58" s="340">
        <v>70</v>
      </c>
      <c r="S58" s="348">
        <f t="shared" si="14"/>
        <v>135.00000000000003</v>
      </c>
      <c r="T58" s="348">
        <f t="shared" ref="T58" si="20">$O$24/$L$24*S58</f>
        <v>437.55401901469321</v>
      </c>
      <c r="U58" s="348">
        <f t="shared" si="16"/>
        <v>105.01296456352635</v>
      </c>
      <c r="V58" s="340"/>
      <c r="W58" s="340"/>
      <c r="X58" s="340"/>
      <c r="Y58" s="340"/>
    </row>
    <row r="59" spans="1:25" ht="15" thickBot="1" x14ac:dyDescent="0.3">
      <c r="A59" s="325"/>
      <c r="B59" s="325"/>
      <c r="C59" s="325"/>
      <c r="D59" s="325"/>
      <c r="E59" s="325"/>
      <c r="F59" s="325"/>
      <c r="G59" s="325"/>
      <c r="H59" s="325"/>
      <c r="I59" s="325"/>
      <c r="J59" s="325"/>
      <c r="K59" s="339"/>
      <c r="L59" s="340"/>
      <c r="M59" s="340"/>
      <c r="N59" s="340"/>
      <c r="O59" s="340"/>
      <c r="P59" s="340"/>
      <c r="Q59" s="340"/>
      <c r="R59" s="340">
        <v>71</v>
      </c>
      <c r="S59" s="348">
        <f t="shared" si="14"/>
        <v>135.00000000000003</v>
      </c>
      <c r="T59" s="348">
        <f t="shared" ref="T59" si="21">$O$24/$L$24*S59</f>
        <v>437.55401901469321</v>
      </c>
      <c r="U59" s="348">
        <f t="shared" si="16"/>
        <v>105.01296456352635</v>
      </c>
      <c r="V59" s="340"/>
      <c r="W59" s="340"/>
      <c r="X59" s="340"/>
      <c r="Y59" s="340"/>
    </row>
    <row r="60" spans="1:25" ht="15" thickBot="1" x14ac:dyDescent="0.3">
      <c r="A60" s="325"/>
      <c r="B60" s="325"/>
      <c r="C60" s="325"/>
      <c r="D60" s="325"/>
      <c r="E60" s="325"/>
      <c r="F60" s="325"/>
      <c r="G60" s="325"/>
      <c r="H60" s="325"/>
      <c r="I60" s="325"/>
      <c r="J60" s="325"/>
      <c r="K60" s="339"/>
      <c r="L60" s="340"/>
      <c r="M60" s="340"/>
      <c r="N60" s="340"/>
      <c r="O60" s="340"/>
      <c r="P60" s="340"/>
      <c r="Q60" s="340"/>
      <c r="R60" s="340">
        <v>72</v>
      </c>
      <c r="S60" s="348">
        <f t="shared" si="14"/>
        <v>135.00000000000003</v>
      </c>
      <c r="T60" s="348">
        <f t="shared" ref="T60" si="22">$O$24/$L$24*S60</f>
        <v>437.55401901469321</v>
      </c>
      <c r="U60" s="348">
        <f t="shared" si="16"/>
        <v>105.01296456352635</v>
      </c>
      <c r="V60" s="340"/>
      <c r="W60" s="340"/>
      <c r="X60" s="340"/>
      <c r="Y60" s="340"/>
    </row>
    <row r="61" spans="1:25" ht="15" thickBot="1" x14ac:dyDescent="0.3">
      <c r="A61" s="325"/>
      <c r="B61" s="325"/>
      <c r="C61" s="325"/>
      <c r="D61" s="325"/>
      <c r="E61" s="325"/>
      <c r="F61" s="325"/>
      <c r="G61" s="325"/>
      <c r="H61" s="325"/>
      <c r="I61" s="325"/>
      <c r="J61" s="325"/>
      <c r="K61" s="339"/>
      <c r="L61" s="340"/>
      <c r="M61" s="340"/>
      <c r="N61" s="340"/>
      <c r="O61" s="340"/>
      <c r="P61" s="340"/>
      <c r="Q61" s="340"/>
      <c r="R61" s="340">
        <v>73</v>
      </c>
      <c r="S61" s="348">
        <f t="shared" si="14"/>
        <v>135.00000000000003</v>
      </c>
      <c r="T61" s="348">
        <f t="shared" ref="T61" si="23">$O$24/$L$24*S61</f>
        <v>437.55401901469321</v>
      </c>
      <c r="U61" s="348">
        <f t="shared" si="16"/>
        <v>105.01296456352635</v>
      </c>
      <c r="V61" s="340"/>
      <c r="W61" s="340"/>
      <c r="X61" s="340"/>
      <c r="Y61" s="340"/>
    </row>
    <row r="62" spans="1:25" ht="15" thickBot="1" x14ac:dyDescent="0.3">
      <c r="A62" s="325"/>
      <c r="B62" s="325"/>
      <c r="C62" s="325"/>
      <c r="D62" s="325"/>
      <c r="E62" s="325"/>
      <c r="F62" s="325"/>
      <c r="G62" s="325"/>
      <c r="H62" s="325"/>
      <c r="I62" s="325"/>
      <c r="J62" s="325"/>
      <c r="K62" s="339"/>
      <c r="L62" s="340"/>
      <c r="M62" s="340"/>
      <c r="N62" s="340"/>
      <c r="O62" s="340"/>
      <c r="P62" s="340"/>
      <c r="Q62" s="340"/>
      <c r="R62" s="340">
        <v>74</v>
      </c>
      <c r="S62" s="348">
        <f t="shared" si="14"/>
        <v>135.00000000000003</v>
      </c>
      <c r="T62" s="348">
        <f t="shared" ref="T62" si="24">$O$24/$L$24*S62</f>
        <v>437.55401901469321</v>
      </c>
      <c r="U62" s="348">
        <f t="shared" si="16"/>
        <v>105.01296456352635</v>
      </c>
      <c r="V62" s="340"/>
      <c r="W62" s="340"/>
      <c r="X62" s="340"/>
      <c r="Y62" s="340"/>
    </row>
    <row r="63" spans="1:25" ht="15" thickBot="1" x14ac:dyDescent="0.3">
      <c r="A63" s="325"/>
      <c r="B63" s="325"/>
      <c r="C63" s="325"/>
      <c r="D63" s="325"/>
      <c r="E63" s="325"/>
      <c r="F63" s="325"/>
      <c r="G63" s="325"/>
      <c r="H63" s="325"/>
      <c r="I63" s="325"/>
      <c r="J63" s="325"/>
      <c r="K63" s="339"/>
      <c r="L63" s="340"/>
      <c r="M63" s="340"/>
      <c r="N63" s="340"/>
      <c r="O63" s="340"/>
      <c r="P63" s="340"/>
      <c r="Q63" s="340"/>
      <c r="R63" s="340">
        <v>75</v>
      </c>
      <c r="S63" s="348">
        <f t="shared" si="14"/>
        <v>135.00000000000003</v>
      </c>
      <c r="T63" s="348">
        <f t="shared" ref="T63" si="25">$O$24/$L$24*S63</f>
        <v>437.55401901469321</v>
      </c>
      <c r="U63" s="348">
        <f t="shared" si="16"/>
        <v>105.01296456352635</v>
      </c>
      <c r="V63" s="340"/>
      <c r="W63" s="340"/>
      <c r="X63" s="340"/>
      <c r="Y63" s="340"/>
    </row>
    <row r="64" spans="1:25" ht="15" thickBot="1" x14ac:dyDescent="0.3">
      <c r="A64" s="325"/>
      <c r="B64" s="325"/>
      <c r="C64" s="325"/>
      <c r="D64" s="325"/>
      <c r="E64" s="325"/>
      <c r="F64" s="325"/>
      <c r="G64" s="325"/>
      <c r="H64" s="325"/>
      <c r="I64" s="325"/>
      <c r="J64" s="325"/>
      <c r="K64" s="339"/>
      <c r="L64" s="340"/>
      <c r="M64" s="340"/>
      <c r="N64" s="340"/>
      <c r="O64" s="340"/>
      <c r="P64" s="340"/>
      <c r="Q64" s="340"/>
      <c r="R64" s="340">
        <v>76</v>
      </c>
      <c r="S64" s="348">
        <f t="shared" si="14"/>
        <v>135.00000000000003</v>
      </c>
      <c r="T64" s="348">
        <f t="shared" ref="T64" si="26">$O$24/$L$24*S64</f>
        <v>437.55401901469321</v>
      </c>
      <c r="U64" s="348">
        <f t="shared" si="16"/>
        <v>105.01296456352635</v>
      </c>
      <c r="V64" s="340"/>
      <c r="W64" s="340"/>
      <c r="X64" s="340"/>
      <c r="Y64" s="340"/>
    </row>
    <row r="65" spans="1:25" ht="15" thickBot="1" x14ac:dyDescent="0.3">
      <c r="A65" s="325"/>
      <c r="B65" s="325"/>
      <c r="C65" s="325"/>
      <c r="D65" s="325"/>
      <c r="E65" s="325"/>
      <c r="F65" s="325"/>
      <c r="G65" s="325"/>
      <c r="H65" s="325"/>
      <c r="I65" s="325"/>
      <c r="J65" s="325"/>
      <c r="K65" s="339"/>
      <c r="L65" s="340"/>
      <c r="M65" s="340"/>
      <c r="N65" s="340"/>
      <c r="O65" s="340"/>
      <c r="P65" s="340"/>
      <c r="Q65" s="340"/>
      <c r="R65" s="340">
        <v>77</v>
      </c>
      <c r="S65" s="348">
        <f t="shared" si="14"/>
        <v>135.00000000000003</v>
      </c>
      <c r="T65" s="348">
        <f t="shared" ref="T65" si="27">$O$24/$L$24*S65</f>
        <v>437.55401901469321</v>
      </c>
      <c r="U65" s="348">
        <f t="shared" si="16"/>
        <v>105.01296456352635</v>
      </c>
      <c r="V65" s="340"/>
      <c r="W65" s="340"/>
      <c r="X65" s="340"/>
      <c r="Y65" s="340"/>
    </row>
    <row r="66" spans="1:25" ht="15" thickBot="1" x14ac:dyDescent="0.3">
      <c r="A66" s="325"/>
      <c r="B66" s="325"/>
      <c r="C66" s="325"/>
      <c r="D66" s="325"/>
      <c r="E66" s="325"/>
      <c r="F66" s="325"/>
      <c r="G66" s="325"/>
      <c r="H66" s="325"/>
      <c r="I66" s="325"/>
      <c r="J66" s="325"/>
      <c r="K66" s="339"/>
      <c r="L66" s="340"/>
      <c r="M66" s="340"/>
      <c r="N66" s="340"/>
      <c r="O66" s="340"/>
      <c r="P66" s="340"/>
      <c r="Q66" s="340"/>
      <c r="R66" s="340">
        <v>78</v>
      </c>
      <c r="S66" s="348">
        <f t="shared" si="14"/>
        <v>135.00000000000003</v>
      </c>
      <c r="T66" s="348">
        <f t="shared" ref="T66" si="28">$O$24/$L$24*S66</f>
        <v>437.55401901469321</v>
      </c>
      <c r="U66" s="348">
        <f t="shared" si="16"/>
        <v>105.01296456352635</v>
      </c>
      <c r="V66" s="340"/>
      <c r="W66" s="340"/>
      <c r="X66" s="340"/>
      <c r="Y66" s="340"/>
    </row>
    <row r="67" spans="1:25" ht="15" thickBot="1" x14ac:dyDescent="0.3">
      <c r="A67" s="325"/>
      <c r="B67" s="325"/>
      <c r="C67" s="325"/>
      <c r="D67" s="325"/>
      <c r="E67" s="325"/>
      <c r="F67" s="325"/>
      <c r="G67" s="325"/>
      <c r="H67" s="325"/>
      <c r="I67" s="325"/>
      <c r="J67" s="325"/>
      <c r="K67" s="339"/>
      <c r="L67" s="340"/>
      <c r="M67" s="340"/>
      <c r="N67" s="340"/>
      <c r="O67" s="340"/>
      <c r="P67" s="340"/>
      <c r="Q67" s="340"/>
      <c r="R67" s="340">
        <v>79</v>
      </c>
      <c r="S67" s="348">
        <f t="shared" si="14"/>
        <v>135.00000000000003</v>
      </c>
      <c r="T67" s="348">
        <f t="shared" ref="T67" si="29">$O$24/$L$24*S67</f>
        <v>437.55401901469321</v>
      </c>
      <c r="U67" s="348">
        <f t="shared" si="16"/>
        <v>105.01296456352635</v>
      </c>
      <c r="V67" s="340"/>
      <c r="W67" s="340"/>
      <c r="X67" s="340"/>
      <c r="Y67" s="340"/>
    </row>
    <row r="68" spans="1:25" ht="15" thickBot="1" x14ac:dyDescent="0.3">
      <c r="A68" s="325"/>
      <c r="B68" s="325"/>
      <c r="C68" s="325"/>
      <c r="D68" s="325"/>
      <c r="E68" s="325"/>
      <c r="F68" s="325"/>
      <c r="G68" s="325"/>
      <c r="H68" s="325"/>
      <c r="I68" s="325"/>
      <c r="J68" s="325"/>
      <c r="K68" s="339"/>
      <c r="L68" s="340"/>
      <c r="M68" s="340"/>
      <c r="N68" s="340"/>
      <c r="O68" s="340"/>
      <c r="P68" s="340"/>
      <c r="Q68" s="340"/>
      <c r="R68" s="340">
        <v>80</v>
      </c>
      <c r="S68" s="348">
        <f t="shared" si="14"/>
        <v>135.00000000000003</v>
      </c>
      <c r="T68" s="348">
        <f t="shared" ref="T68" si="30">$O$24/$L$24*S68</f>
        <v>437.55401901469321</v>
      </c>
      <c r="U68" s="348">
        <f t="shared" si="16"/>
        <v>105.01296456352635</v>
      </c>
      <c r="V68" s="340"/>
      <c r="W68" s="340"/>
      <c r="X68" s="340"/>
      <c r="Y68" s="340"/>
    </row>
    <row r="69" spans="1:25" ht="15" thickBot="1" x14ac:dyDescent="0.3">
      <c r="A69" s="325"/>
      <c r="B69" s="325"/>
      <c r="C69" s="325"/>
      <c r="D69" s="325"/>
      <c r="E69" s="325"/>
      <c r="F69" s="325"/>
      <c r="G69" s="325"/>
      <c r="H69" s="325"/>
      <c r="I69" s="325"/>
      <c r="J69" s="325"/>
      <c r="K69" s="339"/>
      <c r="L69" s="340"/>
      <c r="M69" s="340"/>
      <c r="N69" s="340"/>
      <c r="O69" s="340"/>
      <c r="P69" s="340"/>
      <c r="Q69" s="340"/>
      <c r="R69" s="340">
        <v>81</v>
      </c>
      <c r="S69" s="348">
        <f t="shared" si="14"/>
        <v>135.00000000000003</v>
      </c>
      <c r="T69" s="348">
        <f t="shared" ref="T69" si="31">$O$24/$L$24*S69</f>
        <v>437.55401901469321</v>
      </c>
      <c r="U69" s="348">
        <f t="shared" si="16"/>
        <v>105.01296456352635</v>
      </c>
      <c r="V69" s="340"/>
      <c r="W69" s="340"/>
      <c r="X69" s="340"/>
      <c r="Y69" s="340"/>
    </row>
    <row r="70" spans="1:25" ht="15" thickBot="1" x14ac:dyDescent="0.3">
      <c r="A70" s="325"/>
      <c r="B70" s="325"/>
      <c r="C70" s="325"/>
      <c r="D70" s="325"/>
      <c r="E70" s="325"/>
      <c r="F70" s="325"/>
      <c r="G70" s="325"/>
      <c r="H70" s="325"/>
      <c r="I70" s="325"/>
      <c r="J70" s="325"/>
      <c r="K70" s="339"/>
      <c r="L70" s="340"/>
      <c r="M70" s="340"/>
      <c r="N70" s="340"/>
      <c r="O70" s="340"/>
      <c r="P70" s="340"/>
      <c r="Q70" s="340"/>
      <c r="R70" s="340">
        <v>82</v>
      </c>
      <c r="S70" s="348">
        <f t="shared" si="14"/>
        <v>135.00000000000003</v>
      </c>
      <c r="T70" s="348">
        <f t="shared" ref="T70" si="32">$O$24/$L$24*S70</f>
        <v>437.55401901469321</v>
      </c>
      <c r="U70" s="348">
        <f t="shared" si="16"/>
        <v>105.01296456352635</v>
      </c>
      <c r="V70" s="340"/>
      <c r="W70" s="340"/>
      <c r="X70" s="340"/>
      <c r="Y70" s="340"/>
    </row>
    <row r="71" spans="1:25" ht="15" thickBot="1" x14ac:dyDescent="0.3">
      <c r="A71" s="325"/>
      <c r="B71" s="325"/>
      <c r="C71" s="325"/>
      <c r="D71" s="325"/>
      <c r="E71" s="325"/>
      <c r="F71" s="325"/>
      <c r="G71" s="325"/>
      <c r="H71" s="325"/>
      <c r="I71" s="325"/>
      <c r="J71" s="325"/>
      <c r="K71" s="339"/>
      <c r="L71" s="340"/>
      <c r="M71" s="340"/>
      <c r="N71" s="340"/>
      <c r="O71" s="340"/>
      <c r="P71" s="340"/>
      <c r="Q71" s="340"/>
      <c r="R71" s="340">
        <v>83</v>
      </c>
      <c r="S71" s="348">
        <f t="shared" si="14"/>
        <v>135.00000000000003</v>
      </c>
      <c r="T71" s="348">
        <f t="shared" ref="T71" si="33">$O$24/$L$24*S71</f>
        <v>437.55401901469321</v>
      </c>
      <c r="U71" s="348">
        <f t="shared" si="16"/>
        <v>105.01296456352635</v>
      </c>
      <c r="V71" s="340"/>
      <c r="W71" s="340"/>
      <c r="X71" s="340"/>
      <c r="Y71" s="340"/>
    </row>
    <row r="72" spans="1:25" ht="15" thickBot="1" x14ac:dyDescent="0.3">
      <c r="A72" s="325"/>
      <c r="B72" s="325"/>
      <c r="C72" s="325"/>
      <c r="D72" s="325"/>
      <c r="E72" s="325"/>
      <c r="F72" s="325"/>
      <c r="G72" s="325"/>
      <c r="H72" s="325"/>
      <c r="I72" s="325"/>
      <c r="J72" s="325"/>
      <c r="K72" s="339"/>
      <c r="L72" s="340"/>
      <c r="M72" s="340"/>
      <c r="N72" s="340"/>
      <c r="O72" s="340"/>
      <c r="P72" s="340"/>
      <c r="Q72" s="340"/>
      <c r="R72" s="340">
        <v>84</v>
      </c>
      <c r="S72" s="348">
        <f t="shared" si="14"/>
        <v>135.00000000000003</v>
      </c>
      <c r="T72" s="348">
        <f t="shared" ref="T72" si="34">$O$24/$L$24*S72</f>
        <v>437.55401901469321</v>
      </c>
      <c r="U72" s="348">
        <f t="shared" si="16"/>
        <v>105.01296456352635</v>
      </c>
      <c r="V72" s="340"/>
      <c r="W72" s="340"/>
      <c r="X72" s="340"/>
      <c r="Y72" s="340"/>
    </row>
    <row r="73" spans="1:25" ht="15" thickBot="1" x14ac:dyDescent="0.3">
      <c r="A73" s="325"/>
      <c r="B73" s="325"/>
      <c r="C73" s="325"/>
      <c r="D73" s="325"/>
      <c r="E73" s="325"/>
      <c r="F73" s="325"/>
      <c r="G73" s="325"/>
      <c r="H73" s="325"/>
      <c r="I73" s="325"/>
      <c r="J73" s="325"/>
      <c r="K73" s="339"/>
      <c r="L73" s="340"/>
      <c r="M73" s="340"/>
      <c r="N73" s="340"/>
      <c r="O73" s="340"/>
      <c r="P73" s="340"/>
      <c r="Q73" s="340"/>
      <c r="R73" s="340">
        <v>85</v>
      </c>
      <c r="S73" s="348">
        <f t="shared" si="14"/>
        <v>135.00000000000003</v>
      </c>
      <c r="T73" s="348">
        <f t="shared" ref="T73" si="35">$O$24/$L$24*S73</f>
        <v>437.55401901469321</v>
      </c>
      <c r="U73" s="348">
        <f t="shared" si="16"/>
        <v>105.01296456352635</v>
      </c>
      <c r="V73" s="340"/>
      <c r="W73" s="340"/>
      <c r="X73" s="340"/>
      <c r="Y73" s="340"/>
    </row>
    <row r="74" spans="1:25" ht="15" thickBot="1" x14ac:dyDescent="0.3">
      <c r="A74" s="325"/>
      <c r="B74" s="325"/>
      <c r="C74" s="325"/>
      <c r="D74" s="325"/>
      <c r="E74" s="325"/>
      <c r="F74" s="325"/>
      <c r="G74" s="325"/>
      <c r="H74" s="325"/>
      <c r="I74" s="325"/>
      <c r="J74" s="325"/>
      <c r="K74" s="339"/>
      <c r="L74" s="340"/>
      <c r="M74" s="340"/>
      <c r="N74" s="340"/>
      <c r="O74" s="340"/>
      <c r="P74" s="340"/>
      <c r="Q74" s="340"/>
      <c r="R74" s="340">
        <v>86</v>
      </c>
      <c r="S74" s="348">
        <f t="shared" si="14"/>
        <v>135.00000000000003</v>
      </c>
      <c r="T74" s="348">
        <f t="shared" ref="T74" si="36">$O$24/$L$24*S74</f>
        <v>437.55401901469321</v>
      </c>
      <c r="U74" s="348">
        <f t="shared" si="16"/>
        <v>105.01296456352635</v>
      </c>
      <c r="V74" s="340"/>
      <c r="W74" s="340"/>
      <c r="X74" s="340"/>
      <c r="Y74" s="340"/>
    </row>
    <row r="75" spans="1:25" ht="15" thickBot="1" x14ac:dyDescent="0.3">
      <c r="A75" s="325"/>
      <c r="B75" s="325"/>
      <c r="C75" s="325"/>
      <c r="D75" s="325"/>
      <c r="E75" s="325"/>
      <c r="F75" s="325"/>
      <c r="G75" s="325"/>
      <c r="H75" s="325"/>
      <c r="I75" s="325"/>
      <c r="J75" s="325"/>
      <c r="K75" s="339"/>
      <c r="L75" s="340"/>
      <c r="M75" s="340"/>
      <c r="N75" s="340"/>
      <c r="O75" s="340"/>
      <c r="P75" s="340"/>
      <c r="Q75" s="340"/>
      <c r="R75" s="340">
        <v>87</v>
      </c>
      <c r="S75" s="348">
        <f t="shared" si="14"/>
        <v>135.00000000000003</v>
      </c>
      <c r="T75" s="348">
        <f t="shared" ref="T75" si="37">$O$24/$L$24*S75</f>
        <v>437.55401901469321</v>
      </c>
      <c r="U75" s="348">
        <f t="shared" si="16"/>
        <v>105.01296456352635</v>
      </c>
      <c r="V75" s="340"/>
      <c r="W75" s="340"/>
      <c r="X75" s="340"/>
      <c r="Y75" s="340"/>
    </row>
    <row r="76" spans="1:25" ht="15" thickBot="1" x14ac:dyDescent="0.3">
      <c r="A76" s="325"/>
      <c r="B76" s="325"/>
      <c r="C76" s="325"/>
      <c r="D76" s="325"/>
      <c r="E76" s="325"/>
      <c r="F76" s="325"/>
      <c r="G76" s="325"/>
      <c r="H76" s="325"/>
      <c r="I76" s="325"/>
      <c r="J76" s="325"/>
      <c r="K76" s="339"/>
      <c r="L76" s="340"/>
      <c r="M76" s="340"/>
      <c r="N76" s="340"/>
      <c r="O76" s="340"/>
      <c r="P76" s="340"/>
      <c r="Q76" s="340"/>
      <c r="R76" s="340">
        <v>88</v>
      </c>
      <c r="S76" s="348">
        <f t="shared" si="14"/>
        <v>135.00000000000003</v>
      </c>
      <c r="T76" s="348">
        <f t="shared" ref="T76" si="38">$O$24/$L$24*S76</f>
        <v>437.55401901469321</v>
      </c>
      <c r="U76" s="348">
        <f t="shared" si="16"/>
        <v>105.01296456352635</v>
      </c>
      <c r="V76" s="340"/>
      <c r="W76" s="340"/>
      <c r="X76" s="340"/>
      <c r="Y76" s="340"/>
    </row>
    <row r="77" spans="1:25" ht="15" thickBot="1" x14ac:dyDescent="0.3">
      <c r="A77" s="325"/>
      <c r="B77" s="325"/>
      <c r="C77" s="325"/>
      <c r="D77" s="325"/>
      <c r="E77" s="325"/>
      <c r="F77" s="325"/>
      <c r="G77" s="325"/>
      <c r="H77" s="325"/>
      <c r="I77" s="325"/>
      <c r="J77" s="325"/>
      <c r="K77" s="339"/>
      <c r="L77" s="340"/>
      <c r="M77" s="340"/>
      <c r="N77" s="340"/>
      <c r="O77" s="340"/>
      <c r="P77" s="340"/>
      <c r="Q77" s="340"/>
      <c r="R77" s="340">
        <v>89</v>
      </c>
      <c r="S77" s="348">
        <f t="shared" si="14"/>
        <v>135.00000000000003</v>
      </c>
      <c r="T77" s="348">
        <f t="shared" ref="T77" si="39">$O$24/$L$24*S77</f>
        <v>437.55401901469321</v>
      </c>
      <c r="U77" s="348">
        <f t="shared" si="16"/>
        <v>105.01296456352635</v>
      </c>
      <c r="V77" s="340"/>
      <c r="W77" s="340"/>
      <c r="X77" s="340"/>
      <c r="Y77" s="340"/>
    </row>
    <row r="78" spans="1:25" ht="15" thickBot="1" x14ac:dyDescent="0.3">
      <c r="A78" s="325"/>
      <c r="B78" s="325"/>
      <c r="C78" s="325"/>
      <c r="D78" s="325"/>
      <c r="E78" s="325"/>
      <c r="F78" s="325"/>
      <c r="G78" s="325"/>
      <c r="H78" s="325"/>
      <c r="I78" s="325"/>
      <c r="J78" s="325"/>
      <c r="K78" s="339"/>
      <c r="L78" s="340"/>
      <c r="M78" s="340"/>
      <c r="N78" s="340"/>
      <c r="O78" s="340"/>
      <c r="P78" s="340"/>
      <c r="Q78" s="340"/>
      <c r="R78" s="340">
        <v>90</v>
      </c>
      <c r="S78" s="348">
        <f t="shared" si="14"/>
        <v>135.00000000000003</v>
      </c>
      <c r="T78" s="348">
        <f t="shared" ref="T78" si="40">$O$24/$L$24*S78</f>
        <v>437.55401901469321</v>
      </c>
      <c r="U78" s="348">
        <f t="shared" si="16"/>
        <v>105.01296456352635</v>
      </c>
      <c r="V78" s="340"/>
      <c r="W78" s="340"/>
      <c r="X78" s="340"/>
      <c r="Y78" s="340"/>
    </row>
    <row r="79" spans="1:25" ht="15" thickBot="1" x14ac:dyDescent="0.3">
      <c r="A79" s="325"/>
      <c r="B79" s="325"/>
      <c r="C79" s="325"/>
      <c r="D79" s="325"/>
      <c r="E79" s="325"/>
      <c r="F79" s="325"/>
      <c r="G79" s="325"/>
      <c r="H79" s="325"/>
      <c r="I79" s="325"/>
      <c r="J79" s="325"/>
      <c r="K79" s="339"/>
      <c r="L79" s="340"/>
      <c r="M79" s="340"/>
      <c r="N79" s="340"/>
      <c r="O79" s="340"/>
      <c r="P79" s="340"/>
      <c r="Q79" s="340"/>
      <c r="R79" s="340">
        <v>91</v>
      </c>
      <c r="S79" s="348">
        <f t="shared" si="14"/>
        <v>135.00000000000003</v>
      </c>
      <c r="T79" s="348">
        <f t="shared" ref="T79" si="41">$O$24/$L$24*S79</f>
        <v>437.55401901469321</v>
      </c>
      <c r="U79" s="348">
        <f t="shared" si="16"/>
        <v>105.01296456352635</v>
      </c>
      <c r="V79" s="340"/>
      <c r="W79" s="340"/>
      <c r="X79" s="340"/>
      <c r="Y79" s="340"/>
    </row>
    <row r="80" spans="1:25" ht="15" thickBot="1" x14ac:dyDescent="0.3">
      <c r="A80" s="325"/>
      <c r="B80" s="325"/>
      <c r="C80" s="325"/>
      <c r="D80" s="325"/>
      <c r="E80" s="325"/>
      <c r="F80" s="325"/>
      <c r="G80" s="325"/>
      <c r="H80" s="325"/>
      <c r="I80" s="325"/>
      <c r="J80" s="325"/>
      <c r="K80" s="339"/>
      <c r="L80" s="340"/>
      <c r="M80" s="340"/>
      <c r="N80" s="340"/>
      <c r="O80" s="340"/>
      <c r="P80" s="340"/>
      <c r="Q80" s="340"/>
      <c r="R80" s="340">
        <v>92</v>
      </c>
      <c r="S80" s="348">
        <f t="shared" si="14"/>
        <v>135.00000000000003</v>
      </c>
      <c r="T80" s="348">
        <f t="shared" ref="T80" si="42">$O$24/$L$24*S80</f>
        <v>437.55401901469321</v>
      </c>
      <c r="U80" s="348">
        <f t="shared" si="16"/>
        <v>105.01296456352635</v>
      </c>
      <c r="V80" s="340"/>
      <c r="W80" s="340"/>
      <c r="X80" s="340"/>
      <c r="Y80" s="340"/>
    </row>
    <row r="81" spans="1:25" ht="15" thickBot="1" x14ac:dyDescent="0.3">
      <c r="A81" s="325"/>
      <c r="B81" s="325"/>
      <c r="C81" s="325"/>
      <c r="D81" s="325"/>
      <c r="E81" s="325"/>
      <c r="F81" s="325"/>
      <c r="G81" s="325"/>
      <c r="H81" s="325"/>
      <c r="I81" s="325"/>
      <c r="J81" s="325"/>
      <c r="K81" s="339"/>
      <c r="L81" s="340"/>
      <c r="M81" s="340"/>
      <c r="N81" s="340"/>
      <c r="O81" s="340"/>
      <c r="P81" s="340"/>
      <c r="Q81" s="340"/>
      <c r="R81" s="340">
        <v>93</v>
      </c>
      <c r="S81" s="348">
        <f t="shared" si="14"/>
        <v>135.00000000000003</v>
      </c>
      <c r="T81" s="348">
        <f t="shared" ref="T81" si="43">$O$24/$L$24*S81</f>
        <v>437.55401901469321</v>
      </c>
      <c r="U81" s="348">
        <f t="shared" si="16"/>
        <v>105.01296456352635</v>
      </c>
      <c r="V81" s="340"/>
      <c r="W81" s="340"/>
      <c r="X81" s="340"/>
      <c r="Y81" s="340"/>
    </row>
    <row r="82" spans="1:25" ht="15" thickBot="1" x14ac:dyDescent="0.3">
      <c r="A82" s="325"/>
      <c r="B82" s="325"/>
      <c r="C82" s="325"/>
      <c r="D82" s="325"/>
      <c r="E82" s="325"/>
      <c r="F82" s="325"/>
      <c r="G82" s="325"/>
      <c r="H82" s="325"/>
      <c r="I82" s="325"/>
      <c r="J82" s="325"/>
      <c r="K82" s="339"/>
      <c r="L82" s="340"/>
      <c r="M82" s="340"/>
      <c r="N82" s="340"/>
      <c r="O82" s="340"/>
      <c r="P82" s="340"/>
      <c r="Q82" s="340"/>
      <c r="R82" s="340">
        <v>94</v>
      </c>
      <c r="S82" s="348">
        <f t="shared" si="14"/>
        <v>135.00000000000003</v>
      </c>
      <c r="T82" s="348">
        <f t="shared" ref="T82" si="44">$O$24/$L$24*S82</f>
        <v>437.55401901469321</v>
      </c>
      <c r="U82" s="348">
        <f t="shared" si="16"/>
        <v>105.01296456352635</v>
      </c>
      <c r="V82" s="340"/>
      <c r="W82" s="340"/>
      <c r="X82" s="340"/>
      <c r="Y82" s="340"/>
    </row>
    <row r="83" spans="1:25" ht="15" thickBot="1" x14ac:dyDescent="0.3">
      <c r="A83" s="325"/>
      <c r="B83" s="325"/>
      <c r="C83" s="325"/>
      <c r="D83" s="325"/>
      <c r="E83" s="325"/>
      <c r="F83" s="325"/>
      <c r="G83" s="325"/>
      <c r="H83" s="325"/>
      <c r="I83" s="325"/>
      <c r="J83" s="325"/>
      <c r="K83" s="339"/>
      <c r="L83" s="340"/>
      <c r="M83" s="340"/>
      <c r="N83" s="340"/>
      <c r="O83" s="340"/>
      <c r="P83" s="340"/>
      <c r="Q83" s="340"/>
      <c r="R83" s="340">
        <v>95</v>
      </c>
      <c r="S83" s="348">
        <f t="shared" si="14"/>
        <v>135.00000000000003</v>
      </c>
      <c r="T83" s="348">
        <f t="shared" ref="T83" si="45">$O$24/$L$24*S83</f>
        <v>437.55401901469321</v>
      </c>
      <c r="U83" s="348">
        <f t="shared" si="16"/>
        <v>105.01296456352635</v>
      </c>
      <c r="V83" s="340"/>
      <c r="W83" s="340"/>
      <c r="X83" s="340"/>
      <c r="Y83" s="340"/>
    </row>
    <row r="84" spans="1:25" ht="15" thickBot="1" x14ac:dyDescent="0.3">
      <c r="A84" s="325"/>
      <c r="B84" s="325"/>
      <c r="C84" s="325"/>
      <c r="D84" s="325"/>
      <c r="E84" s="325"/>
      <c r="F84" s="325"/>
      <c r="G84" s="325"/>
      <c r="H84" s="325"/>
      <c r="I84" s="325"/>
      <c r="J84" s="325"/>
      <c r="K84" s="339"/>
      <c r="L84" s="340"/>
      <c r="M84" s="340"/>
      <c r="N84" s="340"/>
      <c r="O84" s="340"/>
      <c r="P84" s="340"/>
      <c r="Q84" s="340"/>
      <c r="R84" s="340">
        <v>96</v>
      </c>
      <c r="S84" s="348">
        <f t="shared" si="14"/>
        <v>135.00000000000003</v>
      </c>
      <c r="T84" s="348">
        <f t="shared" ref="T84" si="46">$O$24/$L$24*S84</f>
        <v>437.55401901469321</v>
      </c>
      <c r="U84" s="348">
        <f t="shared" si="16"/>
        <v>105.01296456352635</v>
      </c>
      <c r="V84" s="340"/>
      <c r="W84" s="340"/>
      <c r="X84" s="340"/>
      <c r="Y84" s="340"/>
    </row>
    <row r="85" spans="1:25" ht="15" thickBot="1" x14ac:dyDescent="0.3">
      <c r="A85" s="325"/>
      <c r="B85" s="325"/>
      <c r="C85" s="325"/>
      <c r="D85" s="325"/>
      <c r="E85" s="325"/>
      <c r="F85" s="325"/>
      <c r="G85" s="325"/>
      <c r="H85" s="325"/>
      <c r="I85" s="325"/>
      <c r="J85" s="325"/>
      <c r="K85" s="339"/>
      <c r="L85" s="340"/>
      <c r="M85" s="340"/>
      <c r="N85" s="340"/>
      <c r="O85" s="340"/>
      <c r="P85" s="340"/>
      <c r="Q85" s="340"/>
      <c r="R85" s="340">
        <v>97</v>
      </c>
      <c r="S85" s="348">
        <f t="shared" si="14"/>
        <v>135.00000000000003</v>
      </c>
      <c r="T85" s="348">
        <f t="shared" ref="T85" si="47">$O$24/$L$24*S85</f>
        <v>437.55401901469321</v>
      </c>
      <c r="U85" s="348">
        <f t="shared" si="16"/>
        <v>105.01296456352635</v>
      </c>
      <c r="V85" s="340"/>
      <c r="W85" s="340"/>
      <c r="X85" s="340"/>
      <c r="Y85" s="340"/>
    </row>
    <row r="86" spans="1:25" ht="15" thickBot="1" x14ac:dyDescent="0.3">
      <c r="A86" s="325"/>
      <c r="B86" s="325"/>
      <c r="C86" s="325"/>
      <c r="D86" s="325"/>
      <c r="E86" s="325"/>
      <c r="F86" s="325"/>
      <c r="G86" s="325"/>
      <c r="H86" s="325"/>
      <c r="I86" s="325"/>
      <c r="J86" s="325"/>
      <c r="K86" s="339"/>
      <c r="L86" s="340"/>
      <c r="M86" s="340"/>
      <c r="N86" s="340"/>
      <c r="O86" s="340"/>
      <c r="P86" s="340"/>
      <c r="Q86" s="340"/>
      <c r="R86" s="340">
        <v>98</v>
      </c>
      <c r="S86" s="348">
        <f t="shared" si="14"/>
        <v>135.00000000000003</v>
      </c>
      <c r="T86" s="348">
        <f t="shared" ref="T86" si="48">$O$24/$L$24*S86</f>
        <v>437.55401901469321</v>
      </c>
      <c r="U86" s="348">
        <f t="shared" si="16"/>
        <v>105.01296456352635</v>
      </c>
      <c r="V86" s="340"/>
      <c r="W86" s="340"/>
      <c r="X86" s="340"/>
      <c r="Y86" s="340"/>
    </row>
    <row r="87" spans="1:25" ht="15" thickBot="1" x14ac:dyDescent="0.3">
      <c r="A87" s="325"/>
      <c r="B87" s="325"/>
      <c r="C87" s="325"/>
      <c r="D87" s="325"/>
      <c r="E87" s="325"/>
      <c r="F87" s="325"/>
      <c r="G87" s="325"/>
      <c r="H87" s="325"/>
      <c r="I87" s="325"/>
      <c r="J87" s="325"/>
      <c r="K87" s="339"/>
      <c r="L87" s="340"/>
      <c r="M87" s="340"/>
      <c r="N87" s="340"/>
      <c r="O87" s="340"/>
      <c r="P87" s="340"/>
      <c r="Q87" s="340"/>
      <c r="R87" s="340">
        <v>99</v>
      </c>
      <c r="S87" s="348">
        <f t="shared" si="14"/>
        <v>135.00000000000003</v>
      </c>
      <c r="T87" s="348">
        <f t="shared" ref="T87" si="49">$O$24/$L$24*S87</f>
        <v>437.55401901469321</v>
      </c>
      <c r="U87" s="348">
        <f t="shared" si="16"/>
        <v>105.01296456352635</v>
      </c>
      <c r="V87" s="340"/>
      <c r="W87" s="340"/>
      <c r="X87" s="340"/>
      <c r="Y87" s="340"/>
    </row>
    <row r="88" spans="1:25" ht="15" thickBot="1" x14ac:dyDescent="0.3">
      <c r="A88" s="325"/>
      <c r="B88" s="325"/>
      <c r="C88" s="325"/>
      <c r="D88" s="325"/>
      <c r="E88" s="325"/>
      <c r="F88" s="325"/>
      <c r="G88" s="325"/>
      <c r="H88" s="325"/>
      <c r="I88" s="325"/>
      <c r="J88" s="325"/>
      <c r="K88" s="339"/>
      <c r="L88" s="340"/>
      <c r="M88" s="340"/>
      <c r="N88" s="340"/>
      <c r="O88" s="340"/>
      <c r="P88" s="340"/>
      <c r="Q88" s="340"/>
      <c r="R88" s="340">
        <v>100</v>
      </c>
      <c r="S88" s="348">
        <f t="shared" si="14"/>
        <v>135.00000000000003</v>
      </c>
      <c r="T88" s="348">
        <f t="shared" ref="T88" si="50">$O$24/$L$24*S88</f>
        <v>437.55401901469321</v>
      </c>
      <c r="U88" s="348">
        <f t="shared" si="16"/>
        <v>105.01296456352635</v>
      </c>
      <c r="V88" s="340"/>
      <c r="W88" s="340"/>
      <c r="X88" s="340"/>
      <c r="Y88" s="340"/>
    </row>
    <row r="89" spans="1:25" ht="15" thickBot="1" x14ac:dyDescent="0.3">
      <c r="A89" s="325"/>
      <c r="B89" s="325"/>
      <c r="C89" s="325"/>
      <c r="D89" s="325"/>
      <c r="E89" s="325"/>
      <c r="F89" s="325"/>
      <c r="G89" s="325"/>
      <c r="H89" s="325"/>
      <c r="I89" s="325"/>
      <c r="J89" s="325"/>
      <c r="K89" s="339"/>
      <c r="L89" s="340"/>
      <c r="M89" s="340"/>
      <c r="N89" s="340"/>
      <c r="O89" s="340"/>
      <c r="P89" s="340"/>
      <c r="Q89" s="340"/>
      <c r="R89" s="340"/>
      <c r="S89" s="348"/>
      <c r="T89" s="348"/>
      <c r="U89" s="348"/>
      <c r="V89" s="340"/>
      <c r="W89" s="340"/>
      <c r="X89" s="340"/>
      <c r="Y89" s="340"/>
    </row>
    <row r="90" spans="1:25" ht="15" thickBot="1" x14ac:dyDescent="0.3">
      <c r="A90" s="325"/>
      <c r="B90" s="325"/>
      <c r="C90" s="325"/>
      <c r="D90" s="325"/>
      <c r="E90" s="325"/>
      <c r="F90" s="325"/>
      <c r="G90" s="325"/>
      <c r="H90" s="325"/>
      <c r="I90" s="325"/>
      <c r="J90" s="325"/>
      <c r="K90" s="339"/>
      <c r="L90" s="340"/>
      <c r="M90" s="340"/>
      <c r="N90" s="340"/>
      <c r="O90" s="340"/>
      <c r="P90" s="340"/>
      <c r="Q90" s="340"/>
      <c r="R90" s="340"/>
      <c r="S90" s="348"/>
      <c r="T90" s="348"/>
      <c r="U90" s="348"/>
      <c r="V90" s="340"/>
      <c r="W90" s="340"/>
      <c r="X90" s="340"/>
      <c r="Y90" s="340"/>
    </row>
    <row r="91" spans="1:25" ht="15" thickBot="1" x14ac:dyDescent="0.3">
      <c r="A91" s="325"/>
      <c r="B91" s="325"/>
      <c r="C91" s="325"/>
      <c r="D91" s="325"/>
      <c r="E91" s="325"/>
      <c r="F91" s="325"/>
      <c r="G91" s="325"/>
      <c r="H91" s="325"/>
      <c r="I91" s="325"/>
      <c r="J91" s="325"/>
      <c r="K91" s="339"/>
      <c r="L91" s="340"/>
      <c r="M91" s="340"/>
      <c r="N91" s="340"/>
      <c r="O91" s="340"/>
      <c r="P91" s="340"/>
      <c r="Q91" s="340"/>
      <c r="R91" s="340"/>
      <c r="S91" s="348"/>
      <c r="T91" s="348"/>
      <c r="U91" s="348"/>
      <c r="V91" s="340"/>
      <c r="W91" s="340"/>
      <c r="X91" s="340"/>
      <c r="Y91" s="340"/>
    </row>
    <row r="92" spans="1:25" ht="15" thickBot="1" x14ac:dyDescent="0.3">
      <c r="A92" s="325"/>
      <c r="B92" s="325"/>
      <c r="C92" s="325"/>
      <c r="D92" s="325"/>
      <c r="E92" s="325"/>
      <c r="F92" s="325"/>
      <c r="G92" s="325"/>
      <c r="H92" s="325"/>
      <c r="I92" s="325"/>
      <c r="J92" s="325"/>
      <c r="K92" s="339"/>
      <c r="L92" s="340"/>
      <c r="M92" s="340"/>
      <c r="N92" s="340"/>
      <c r="O92" s="340"/>
      <c r="P92" s="340"/>
      <c r="Q92" s="340"/>
      <c r="R92" s="340"/>
      <c r="S92" s="348"/>
      <c r="T92" s="348"/>
      <c r="U92" s="348"/>
      <c r="V92" s="340"/>
      <c r="W92" s="340"/>
      <c r="X92" s="340"/>
      <c r="Y92" s="340"/>
    </row>
    <row r="93" spans="1:25" ht="15" thickBot="1" x14ac:dyDescent="0.3">
      <c r="A93" s="325"/>
      <c r="B93" s="325"/>
      <c r="C93" s="325"/>
      <c r="D93" s="325"/>
      <c r="E93" s="325"/>
      <c r="F93" s="325"/>
      <c r="G93" s="325"/>
      <c r="H93" s="325"/>
      <c r="I93" s="325"/>
      <c r="J93" s="325"/>
      <c r="K93" s="339"/>
      <c r="L93" s="340"/>
      <c r="M93" s="340"/>
      <c r="N93" s="340"/>
      <c r="O93" s="340"/>
      <c r="P93" s="340"/>
      <c r="Q93" s="340"/>
      <c r="R93" s="340"/>
      <c r="S93" s="348"/>
      <c r="T93" s="348"/>
      <c r="U93" s="348"/>
      <c r="V93" s="340"/>
      <c r="W93" s="340"/>
      <c r="X93" s="340"/>
      <c r="Y93" s="340"/>
    </row>
    <row r="94" spans="1:25" ht="15" thickBot="1" x14ac:dyDescent="0.3">
      <c r="A94" s="325"/>
      <c r="B94" s="325"/>
      <c r="C94" s="325"/>
      <c r="D94" s="325"/>
      <c r="E94" s="325"/>
      <c r="F94" s="325"/>
      <c r="G94" s="325"/>
      <c r="H94" s="325"/>
      <c r="I94" s="325"/>
      <c r="J94" s="325"/>
      <c r="K94" s="339"/>
      <c r="L94" s="340"/>
      <c r="M94" s="340"/>
      <c r="N94" s="340"/>
      <c r="O94" s="340"/>
      <c r="P94" s="340"/>
      <c r="Q94" s="340"/>
      <c r="R94" s="340"/>
      <c r="S94" s="348"/>
      <c r="T94" s="348"/>
      <c r="U94" s="348"/>
      <c r="V94" s="340"/>
      <c r="W94" s="340"/>
      <c r="X94" s="340"/>
      <c r="Y94" s="340"/>
    </row>
    <row r="95" spans="1:25" ht="15" thickBot="1" x14ac:dyDescent="0.3">
      <c r="A95" s="325"/>
      <c r="B95" s="325"/>
      <c r="C95" s="325"/>
      <c r="D95" s="325"/>
      <c r="E95" s="325"/>
      <c r="F95" s="325"/>
      <c r="G95" s="325"/>
      <c r="H95" s="325"/>
      <c r="I95" s="325"/>
      <c r="J95" s="325"/>
      <c r="K95" s="339"/>
      <c r="L95" s="340"/>
      <c r="M95" s="340"/>
      <c r="N95" s="340"/>
      <c r="O95" s="340"/>
      <c r="P95" s="340"/>
      <c r="Q95" s="340"/>
      <c r="R95" s="340"/>
      <c r="S95" s="348"/>
      <c r="T95" s="348"/>
      <c r="U95" s="348"/>
      <c r="V95" s="340"/>
      <c r="W95" s="340"/>
      <c r="X95" s="340"/>
      <c r="Y95" s="340"/>
    </row>
    <row r="96" spans="1:25" ht="15" thickBot="1" x14ac:dyDescent="0.3">
      <c r="A96" s="325"/>
      <c r="B96" s="325"/>
      <c r="C96" s="325"/>
      <c r="D96" s="325"/>
      <c r="E96" s="325"/>
      <c r="F96" s="325"/>
      <c r="G96" s="325"/>
      <c r="H96" s="325"/>
      <c r="I96" s="325"/>
      <c r="J96" s="325"/>
      <c r="K96" s="339"/>
      <c r="L96" s="340"/>
      <c r="M96" s="340"/>
      <c r="N96" s="340"/>
      <c r="O96" s="340"/>
      <c r="P96" s="340"/>
      <c r="Q96" s="340"/>
      <c r="R96" s="340"/>
      <c r="S96" s="348"/>
      <c r="T96" s="348"/>
      <c r="U96" s="348"/>
      <c r="V96" s="340"/>
      <c r="W96" s="340"/>
      <c r="X96" s="340"/>
      <c r="Y96" s="340"/>
    </row>
    <row r="97" spans="1:25" ht="15" thickBot="1" x14ac:dyDescent="0.3">
      <c r="A97" s="325"/>
      <c r="B97" s="325"/>
      <c r="C97" s="325"/>
      <c r="D97" s="325"/>
      <c r="E97" s="325"/>
      <c r="F97" s="325"/>
      <c r="G97" s="325"/>
      <c r="H97" s="325"/>
      <c r="I97" s="325"/>
      <c r="J97" s="325"/>
      <c r="K97" s="339"/>
      <c r="L97" s="340"/>
      <c r="M97" s="340"/>
      <c r="N97" s="340"/>
      <c r="O97" s="340"/>
      <c r="P97" s="340"/>
      <c r="Q97" s="340"/>
      <c r="R97" s="340"/>
      <c r="S97" s="348"/>
      <c r="T97" s="348"/>
      <c r="U97" s="348"/>
      <c r="V97" s="340"/>
      <c r="W97" s="340"/>
      <c r="X97" s="340"/>
      <c r="Y97" s="340"/>
    </row>
    <row r="98" spans="1:25" ht="15" thickBot="1" x14ac:dyDescent="0.3">
      <c r="A98" s="325"/>
      <c r="B98" s="325"/>
      <c r="C98" s="325"/>
      <c r="D98" s="325"/>
      <c r="E98" s="325"/>
      <c r="F98" s="325"/>
      <c r="G98" s="325"/>
      <c r="H98" s="325"/>
      <c r="I98" s="325"/>
      <c r="J98" s="325"/>
      <c r="K98" s="339"/>
      <c r="L98" s="340"/>
      <c r="M98" s="340"/>
      <c r="N98" s="340"/>
      <c r="O98" s="340"/>
      <c r="P98" s="340"/>
      <c r="Q98" s="340"/>
      <c r="R98" s="340"/>
      <c r="S98" s="348"/>
      <c r="T98" s="348"/>
      <c r="U98" s="348"/>
      <c r="V98" s="340"/>
      <c r="W98" s="340"/>
      <c r="X98" s="340"/>
      <c r="Y98" s="340"/>
    </row>
    <row r="99" spans="1:25" ht="15" thickBot="1" x14ac:dyDescent="0.3">
      <c r="A99" s="325"/>
      <c r="B99" s="325"/>
      <c r="C99" s="325"/>
      <c r="D99" s="325"/>
      <c r="E99" s="325"/>
      <c r="F99" s="325"/>
      <c r="G99" s="325"/>
      <c r="H99" s="325"/>
      <c r="I99" s="325"/>
      <c r="J99" s="325"/>
      <c r="K99" s="339"/>
      <c r="L99" s="340"/>
      <c r="M99" s="340"/>
      <c r="N99" s="340"/>
      <c r="O99" s="340"/>
      <c r="P99" s="340"/>
      <c r="Q99" s="340"/>
      <c r="R99" s="340"/>
      <c r="S99" s="348"/>
      <c r="T99" s="348"/>
      <c r="U99" s="348"/>
      <c r="V99" s="340"/>
      <c r="W99" s="340"/>
      <c r="X99" s="340"/>
      <c r="Y99" s="340"/>
    </row>
    <row r="100" spans="1:25" ht="15" thickBot="1" x14ac:dyDescent="0.3">
      <c r="A100" s="325"/>
      <c r="B100" s="325"/>
      <c r="C100" s="325"/>
      <c r="D100" s="325"/>
      <c r="E100" s="325"/>
      <c r="F100" s="325"/>
      <c r="G100" s="325"/>
      <c r="H100" s="325"/>
      <c r="I100" s="325"/>
      <c r="J100" s="325"/>
      <c r="K100" s="339"/>
      <c r="L100" s="340"/>
      <c r="M100" s="340"/>
      <c r="N100" s="340"/>
      <c r="O100" s="340"/>
      <c r="P100" s="340"/>
      <c r="Q100" s="340"/>
      <c r="R100" s="340"/>
      <c r="S100" s="348"/>
      <c r="T100" s="348"/>
      <c r="U100" s="348"/>
      <c r="V100" s="340"/>
      <c r="W100" s="340"/>
      <c r="X100" s="340"/>
      <c r="Y100" s="340"/>
    </row>
    <row r="101" spans="1:25" ht="15" thickBot="1" x14ac:dyDescent="0.3">
      <c r="A101" s="325"/>
      <c r="B101" s="325"/>
      <c r="C101" s="325"/>
      <c r="D101" s="325"/>
      <c r="E101" s="325"/>
      <c r="F101" s="325"/>
      <c r="G101" s="325"/>
      <c r="H101" s="325"/>
      <c r="I101" s="325"/>
      <c r="J101" s="325"/>
      <c r="K101" s="339"/>
      <c r="L101" s="340"/>
      <c r="M101" s="340"/>
      <c r="N101" s="340"/>
      <c r="O101" s="340"/>
      <c r="P101" s="340"/>
      <c r="Q101" s="340"/>
      <c r="R101" s="340"/>
      <c r="S101" s="348"/>
      <c r="T101" s="348"/>
      <c r="U101" s="348"/>
      <c r="V101" s="340"/>
      <c r="W101" s="340"/>
      <c r="X101" s="340"/>
      <c r="Y101" s="340"/>
    </row>
    <row r="102" spans="1:25" ht="15" thickBot="1" x14ac:dyDescent="0.3">
      <c r="A102" s="325"/>
      <c r="B102" s="325"/>
      <c r="C102" s="325"/>
      <c r="D102" s="325"/>
      <c r="E102" s="325"/>
      <c r="F102" s="325"/>
      <c r="G102" s="325"/>
      <c r="H102" s="325"/>
      <c r="I102" s="325"/>
      <c r="J102" s="325"/>
      <c r="K102" s="339"/>
      <c r="L102" s="340"/>
      <c r="M102" s="340"/>
      <c r="N102" s="340"/>
      <c r="O102" s="340"/>
      <c r="P102" s="340"/>
      <c r="Q102" s="340"/>
      <c r="R102" s="340"/>
      <c r="S102" s="348"/>
      <c r="T102" s="348"/>
      <c r="U102" s="348"/>
      <c r="V102" s="340"/>
      <c r="W102" s="340"/>
      <c r="X102" s="340"/>
      <c r="Y102" s="340"/>
    </row>
    <row r="103" spans="1:25" ht="15" thickBot="1" x14ac:dyDescent="0.3">
      <c r="A103" s="325"/>
      <c r="B103" s="325"/>
      <c r="C103" s="325"/>
      <c r="D103" s="325"/>
      <c r="E103" s="325"/>
      <c r="F103" s="325"/>
      <c r="G103" s="325"/>
      <c r="H103" s="325"/>
      <c r="I103" s="325"/>
      <c r="J103" s="325"/>
      <c r="K103" s="339"/>
      <c r="L103" s="340"/>
      <c r="M103" s="340"/>
      <c r="N103" s="340"/>
      <c r="O103" s="340"/>
      <c r="P103" s="340"/>
      <c r="Q103" s="340"/>
      <c r="R103" s="340"/>
      <c r="S103" s="348"/>
      <c r="T103" s="348"/>
      <c r="U103" s="348"/>
      <c r="V103" s="340"/>
      <c r="W103" s="340"/>
      <c r="X103" s="340"/>
      <c r="Y103" s="340"/>
    </row>
    <row r="104" spans="1:25" ht="15" thickBot="1" x14ac:dyDescent="0.3">
      <c r="A104" s="325"/>
      <c r="B104" s="325"/>
      <c r="C104" s="325"/>
      <c r="D104" s="325"/>
      <c r="E104" s="325"/>
      <c r="F104" s="325"/>
      <c r="G104" s="325"/>
      <c r="H104" s="325"/>
      <c r="I104" s="325"/>
      <c r="J104" s="325"/>
      <c r="K104" s="339"/>
      <c r="L104" s="340"/>
      <c r="M104" s="340"/>
      <c r="N104" s="340"/>
      <c r="O104" s="340"/>
      <c r="P104" s="340"/>
      <c r="Q104" s="340"/>
      <c r="R104" s="340"/>
      <c r="S104" s="348"/>
      <c r="T104" s="348"/>
      <c r="U104" s="348"/>
      <c r="V104" s="340"/>
      <c r="W104" s="340"/>
      <c r="X104" s="340"/>
      <c r="Y104" s="340"/>
    </row>
    <row r="105" spans="1:25" ht="15" thickBot="1" x14ac:dyDescent="0.3">
      <c r="A105" s="325"/>
      <c r="B105" s="325"/>
      <c r="C105" s="325"/>
      <c r="D105" s="325"/>
      <c r="E105" s="325"/>
      <c r="F105" s="325"/>
      <c r="G105" s="325"/>
      <c r="H105" s="325"/>
      <c r="I105" s="325"/>
      <c r="J105" s="325"/>
      <c r="K105" s="339"/>
      <c r="L105" s="340"/>
      <c r="M105" s="340"/>
      <c r="N105" s="340"/>
      <c r="O105" s="340"/>
      <c r="P105" s="340"/>
      <c r="Q105" s="340"/>
      <c r="R105" s="340"/>
      <c r="S105" s="348"/>
      <c r="T105" s="348"/>
      <c r="U105" s="348"/>
      <c r="V105" s="340"/>
      <c r="W105" s="340"/>
      <c r="X105" s="340"/>
      <c r="Y105" s="340"/>
    </row>
    <row r="106" spans="1:25" ht="15" thickBot="1" x14ac:dyDescent="0.3">
      <c r="A106" s="325"/>
      <c r="B106" s="325"/>
      <c r="C106" s="325"/>
      <c r="D106" s="325"/>
      <c r="E106" s="325"/>
      <c r="F106" s="325"/>
      <c r="G106" s="325"/>
      <c r="H106" s="325"/>
      <c r="I106" s="325"/>
      <c r="J106" s="325"/>
      <c r="K106" s="339"/>
      <c r="L106" s="340"/>
      <c r="M106" s="340"/>
      <c r="N106" s="340"/>
      <c r="O106" s="340"/>
      <c r="P106" s="340"/>
      <c r="Q106" s="340"/>
      <c r="R106" s="340"/>
      <c r="S106" s="348"/>
      <c r="T106" s="348"/>
      <c r="U106" s="348"/>
      <c r="V106" s="340"/>
      <c r="W106" s="340"/>
      <c r="X106" s="340"/>
      <c r="Y106" s="340"/>
    </row>
    <row r="107" spans="1:25" ht="15" thickBot="1" x14ac:dyDescent="0.3">
      <c r="A107" s="325"/>
      <c r="B107" s="325"/>
      <c r="C107" s="325"/>
      <c r="D107" s="325"/>
      <c r="E107" s="325"/>
      <c r="F107" s="325"/>
      <c r="G107" s="325"/>
      <c r="H107" s="325"/>
      <c r="I107" s="325"/>
      <c r="J107" s="325"/>
      <c r="K107" s="339"/>
      <c r="L107" s="340"/>
      <c r="M107" s="340"/>
      <c r="N107" s="340"/>
      <c r="O107" s="340"/>
      <c r="P107" s="340"/>
      <c r="Q107" s="340"/>
      <c r="R107" s="340"/>
      <c r="S107" s="348"/>
      <c r="T107" s="348"/>
      <c r="U107" s="348"/>
      <c r="V107" s="340"/>
      <c r="W107" s="340"/>
      <c r="X107" s="340"/>
      <c r="Y107" s="340"/>
    </row>
    <row r="108" spans="1:25" ht="15" thickBot="1" x14ac:dyDescent="0.3">
      <c r="A108" s="325"/>
      <c r="B108" s="325"/>
      <c r="C108" s="325"/>
      <c r="D108" s="325"/>
      <c r="E108" s="325"/>
      <c r="F108" s="325"/>
      <c r="G108" s="325"/>
      <c r="H108" s="325"/>
      <c r="I108" s="325"/>
      <c r="J108" s="325"/>
      <c r="K108" s="339"/>
      <c r="L108" s="340"/>
      <c r="M108" s="340"/>
      <c r="N108" s="340"/>
      <c r="O108" s="340"/>
      <c r="P108" s="340"/>
      <c r="Q108" s="340"/>
      <c r="R108" s="340"/>
      <c r="S108" s="348"/>
      <c r="T108" s="348"/>
      <c r="U108" s="348"/>
      <c r="V108" s="340"/>
      <c r="W108" s="340"/>
      <c r="X108" s="340"/>
      <c r="Y108" s="340"/>
    </row>
    <row r="109" spans="1:25" ht="15" thickBot="1" x14ac:dyDescent="0.3">
      <c r="A109" s="325"/>
      <c r="B109" s="325"/>
      <c r="C109" s="325"/>
      <c r="D109" s="325"/>
      <c r="E109" s="325"/>
      <c r="F109" s="325"/>
      <c r="G109" s="325"/>
      <c r="H109" s="325"/>
      <c r="I109" s="325"/>
      <c r="J109" s="325"/>
      <c r="K109" s="339"/>
      <c r="L109" s="340"/>
      <c r="M109" s="340"/>
      <c r="N109" s="340"/>
      <c r="O109" s="340"/>
      <c r="P109" s="340"/>
      <c r="Q109" s="340"/>
      <c r="R109" s="340"/>
      <c r="S109" s="348"/>
      <c r="T109" s="348"/>
      <c r="U109" s="348"/>
      <c r="V109" s="340"/>
      <c r="W109" s="340"/>
      <c r="X109" s="340"/>
      <c r="Y109" s="340"/>
    </row>
    <row r="110" spans="1:25" ht="15" thickBot="1" x14ac:dyDescent="0.3">
      <c r="A110" s="325"/>
      <c r="B110" s="325"/>
      <c r="C110" s="325"/>
      <c r="D110" s="325"/>
      <c r="E110" s="325"/>
      <c r="F110" s="325"/>
      <c r="G110" s="325"/>
      <c r="H110" s="325"/>
      <c r="I110" s="325"/>
      <c r="J110" s="325"/>
      <c r="K110" s="339"/>
      <c r="L110" s="340"/>
      <c r="M110" s="340"/>
      <c r="N110" s="340"/>
      <c r="O110" s="340"/>
      <c r="P110" s="340"/>
      <c r="Q110" s="340"/>
      <c r="R110" s="340"/>
      <c r="S110" s="348"/>
      <c r="T110" s="348"/>
      <c r="U110" s="348"/>
      <c r="V110" s="340"/>
      <c r="W110" s="340"/>
      <c r="X110" s="340"/>
      <c r="Y110" s="340"/>
    </row>
    <row r="111" spans="1:25" ht="15" thickBot="1" x14ac:dyDescent="0.3">
      <c r="A111" s="325"/>
      <c r="B111" s="325"/>
      <c r="C111" s="325"/>
      <c r="D111" s="325"/>
      <c r="E111" s="325"/>
      <c r="F111" s="325"/>
      <c r="G111" s="325"/>
      <c r="H111" s="325"/>
      <c r="I111" s="325"/>
      <c r="J111" s="325"/>
      <c r="K111" s="339"/>
      <c r="L111" s="340"/>
      <c r="M111" s="340"/>
      <c r="N111" s="340"/>
      <c r="O111" s="340"/>
      <c r="P111" s="340"/>
      <c r="Q111" s="340"/>
      <c r="R111" s="340"/>
      <c r="S111" s="348"/>
      <c r="T111" s="348"/>
      <c r="U111" s="348"/>
      <c r="V111" s="340"/>
      <c r="W111" s="340"/>
      <c r="X111" s="340"/>
      <c r="Y111" s="340"/>
    </row>
    <row r="112" spans="1:25" ht="15" thickBot="1" x14ac:dyDescent="0.3">
      <c r="A112" s="325"/>
      <c r="B112" s="325"/>
      <c r="C112" s="325"/>
      <c r="D112" s="325"/>
      <c r="E112" s="325"/>
      <c r="F112" s="325"/>
      <c r="G112" s="325"/>
      <c r="H112" s="325"/>
      <c r="I112" s="325"/>
      <c r="J112" s="325"/>
      <c r="K112" s="339"/>
      <c r="L112" s="340"/>
      <c r="M112" s="340"/>
      <c r="N112" s="340"/>
      <c r="O112" s="340"/>
      <c r="P112" s="340"/>
      <c r="Q112" s="340"/>
      <c r="R112" s="340"/>
      <c r="S112" s="348"/>
      <c r="T112" s="348"/>
      <c r="U112" s="348"/>
      <c r="V112" s="340"/>
      <c r="W112" s="340"/>
      <c r="X112" s="340"/>
      <c r="Y112" s="340"/>
    </row>
    <row r="113" spans="1:25" ht="15" thickBot="1" x14ac:dyDescent="0.3">
      <c r="A113" s="325"/>
      <c r="B113" s="325"/>
      <c r="C113" s="325"/>
      <c r="D113" s="325"/>
      <c r="E113" s="325"/>
      <c r="F113" s="325"/>
      <c r="G113" s="325"/>
      <c r="H113" s="325"/>
      <c r="I113" s="325"/>
      <c r="J113" s="325"/>
      <c r="K113" s="339"/>
      <c r="L113" s="340"/>
      <c r="M113" s="340"/>
      <c r="N113" s="340"/>
      <c r="O113" s="340"/>
      <c r="P113" s="340"/>
      <c r="Q113" s="340"/>
      <c r="R113" s="340"/>
      <c r="S113" s="348"/>
      <c r="T113" s="348"/>
      <c r="U113" s="348"/>
      <c r="V113" s="340"/>
      <c r="W113" s="340"/>
      <c r="X113" s="340"/>
      <c r="Y113" s="340"/>
    </row>
    <row r="114" spans="1:25" ht="15" thickBot="1" x14ac:dyDescent="0.3">
      <c r="A114" s="325"/>
      <c r="B114" s="325"/>
      <c r="C114" s="325"/>
      <c r="D114" s="325"/>
      <c r="E114" s="325"/>
      <c r="F114" s="325"/>
      <c r="G114" s="325"/>
      <c r="H114" s="325"/>
      <c r="I114" s="325"/>
      <c r="J114" s="325"/>
      <c r="K114" s="339"/>
      <c r="L114" s="340"/>
      <c r="M114" s="340"/>
      <c r="N114" s="340"/>
      <c r="O114" s="340"/>
      <c r="P114" s="340"/>
      <c r="Q114" s="340"/>
      <c r="R114" s="340"/>
      <c r="S114" s="348"/>
      <c r="T114" s="348"/>
      <c r="U114" s="348"/>
      <c r="V114" s="340"/>
      <c r="W114" s="340"/>
      <c r="X114" s="340"/>
      <c r="Y114" s="340"/>
    </row>
    <row r="115" spans="1:25" ht="15" thickBot="1" x14ac:dyDescent="0.3">
      <c r="A115" s="325"/>
      <c r="B115" s="325"/>
      <c r="C115" s="325"/>
      <c r="D115" s="325"/>
      <c r="E115" s="325"/>
      <c r="F115" s="325"/>
      <c r="G115" s="325"/>
      <c r="H115" s="325"/>
      <c r="I115" s="325"/>
      <c r="J115" s="325"/>
      <c r="K115" s="339"/>
      <c r="L115" s="340"/>
      <c r="M115" s="340"/>
      <c r="N115" s="340"/>
      <c r="O115" s="340"/>
      <c r="P115" s="340"/>
      <c r="Q115" s="340"/>
      <c r="R115" s="340"/>
      <c r="S115" s="348"/>
      <c r="T115" s="348"/>
      <c r="U115" s="348"/>
      <c r="V115" s="340"/>
      <c r="W115" s="340"/>
      <c r="X115" s="340"/>
      <c r="Y115" s="340"/>
    </row>
    <row r="116" spans="1:25" ht="15" thickBot="1" x14ac:dyDescent="0.3">
      <c r="A116" s="325"/>
      <c r="B116" s="325"/>
      <c r="C116" s="325"/>
      <c r="D116" s="325"/>
      <c r="E116" s="325"/>
      <c r="F116" s="325"/>
      <c r="G116" s="325"/>
      <c r="H116" s="325"/>
      <c r="I116" s="325"/>
      <c r="J116" s="325"/>
      <c r="K116" s="339"/>
      <c r="L116" s="340"/>
      <c r="M116" s="340"/>
      <c r="N116" s="340"/>
      <c r="O116" s="340"/>
      <c r="P116" s="340"/>
      <c r="Q116" s="340"/>
      <c r="R116" s="340"/>
      <c r="S116" s="348"/>
      <c r="T116" s="348"/>
      <c r="U116" s="348"/>
      <c r="V116" s="340"/>
      <c r="W116" s="340"/>
      <c r="X116" s="340"/>
      <c r="Y116" s="340"/>
    </row>
    <row r="117" spans="1:25" ht="15" thickBot="1" x14ac:dyDescent="0.3">
      <c r="A117" s="325"/>
      <c r="B117" s="325"/>
      <c r="C117" s="325"/>
      <c r="D117" s="325"/>
      <c r="E117" s="325"/>
      <c r="F117" s="325"/>
      <c r="G117" s="325"/>
      <c r="H117" s="325"/>
      <c r="I117" s="325"/>
      <c r="J117" s="325"/>
      <c r="K117" s="339"/>
      <c r="L117" s="340"/>
      <c r="M117" s="340"/>
      <c r="N117" s="340"/>
      <c r="O117" s="340"/>
      <c r="P117" s="340"/>
      <c r="Q117" s="340"/>
      <c r="R117" s="340"/>
      <c r="S117" s="348"/>
      <c r="T117" s="348"/>
      <c r="U117" s="348"/>
      <c r="V117" s="340"/>
      <c r="W117" s="340"/>
      <c r="X117" s="340"/>
      <c r="Y117" s="340"/>
    </row>
    <row r="118" spans="1:25" ht="15" thickBot="1" x14ac:dyDescent="0.3">
      <c r="A118" s="325"/>
      <c r="B118" s="325"/>
      <c r="C118" s="325"/>
      <c r="D118" s="325"/>
      <c r="E118" s="325"/>
      <c r="F118" s="325"/>
      <c r="G118" s="325"/>
      <c r="H118" s="325"/>
      <c r="I118" s="325"/>
      <c r="J118" s="325"/>
      <c r="K118" s="339"/>
      <c r="L118" s="340"/>
      <c r="M118" s="340"/>
      <c r="N118" s="340"/>
      <c r="O118" s="340"/>
      <c r="P118" s="340"/>
      <c r="Q118" s="340"/>
      <c r="R118" s="340"/>
      <c r="S118" s="348"/>
      <c r="T118" s="348"/>
      <c r="U118" s="348"/>
      <c r="V118" s="340"/>
      <c r="W118" s="340"/>
      <c r="X118" s="340"/>
      <c r="Y118" s="340"/>
    </row>
    <row r="119" spans="1:25" ht="15" thickBot="1" x14ac:dyDescent="0.3">
      <c r="A119" s="325"/>
      <c r="B119" s="325"/>
      <c r="C119" s="325"/>
      <c r="D119" s="325"/>
      <c r="E119" s="325"/>
      <c r="F119" s="325"/>
      <c r="G119" s="325"/>
      <c r="H119" s="325"/>
      <c r="I119" s="325"/>
      <c r="J119" s="325"/>
      <c r="K119" s="339"/>
      <c r="L119" s="340"/>
      <c r="M119" s="340"/>
      <c r="N119" s="340"/>
      <c r="O119" s="340"/>
      <c r="P119" s="340"/>
      <c r="Q119" s="340"/>
      <c r="R119" s="340"/>
      <c r="S119" s="348"/>
      <c r="T119" s="348"/>
      <c r="U119" s="348"/>
      <c r="V119" s="340"/>
      <c r="W119" s="340"/>
      <c r="X119" s="340"/>
      <c r="Y119" s="340"/>
    </row>
    <row r="120" spans="1:25" ht="15" thickBot="1" x14ac:dyDescent="0.3">
      <c r="A120" s="325"/>
      <c r="B120" s="325"/>
      <c r="C120" s="325"/>
      <c r="D120" s="325"/>
      <c r="E120" s="325"/>
      <c r="F120" s="325"/>
      <c r="G120" s="325"/>
      <c r="H120" s="325"/>
      <c r="I120" s="325"/>
      <c r="J120" s="325"/>
      <c r="K120" s="339"/>
      <c r="L120" s="340"/>
      <c r="M120" s="340"/>
      <c r="N120" s="340"/>
      <c r="O120" s="340"/>
      <c r="P120" s="340"/>
      <c r="Q120" s="340"/>
      <c r="R120" s="340"/>
      <c r="S120" s="348"/>
      <c r="T120" s="348"/>
      <c r="U120" s="348"/>
      <c r="V120" s="340"/>
      <c r="W120" s="340"/>
      <c r="X120" s="340"/>
      <c r="Y120" s="340"/>
    </row>
    <row r="121" spans="1:25" ht="15" thickBot="1" x14ac:dyDescent="0.3">
      <c r="A121" s="325"/>
      <c r="B121" s="325"/>
      <c r="C121" s="325"/>
      <c r="D121" s="325"/>
      <c r="E121" s="325"/>
      <c r="F121" s="325"/>
      <c r="G121" s="325"/>
      <c r="H121" s="325"/>
      <c r="I121" s="325"/>
      <c r="J121" s="325"/>
      <c r="K121" s="339"/>
      <c r="L121" s="340"/>
      <c r="M121" s="340"/>
      <c r="N121" s="340"/>
      <c r="O121" s="340"/>
      <c r="P121" s="340"/>
      <c r="Q121" s="340"/>
      <c r="R121" s="340"/>
      <c r="S121" s="348"/>
      <c r="T121" s="348"/>
      <c r="U121" s="348"/>
      <c r="V121" s="340"/>
      <c r="W121" s="340"/>
      <c r="X121" s="340"/>
      <c r="Y121" s="340"/>
    </row>
    <row r="122" spans="1:25" ht="15" thickBot="1" x14ac:dyDescent="0.3">
      <c r="A122" s="325"/>
      <c r="B122" s="325"/>
      <c r="C122" s="325"/>
      <c r="D122" s="325"/>
      <c r="E122" s="325"/>
      <c r="F122" s="325"/>
      <c r="G122" s="325"/>
      <c r="H122" s="325"/>
      <c r="I122" s="325"/>
      <c r="J122" s="325"/>
      <c r="K122" s="339"/>
      <c r="L122" s="340"/>
      <c r="M122" s="340"/>
      <c r="N122" s="340"/>
      <c r="O122" s="340"/>
      <c r="P122" s="340"/>
      <c r="Q122" s="340"/>
      <c r="R122" s="340"/>
      <c r="S122" s="348"/>
      <c r="T122" s="348"/>
      <c r="U122" s="348"/>
      <c r="V122" s="340"/>
      <c r="W122" s="340"/>
      <c r="X122" s="340"/>
      <c r="Y122" s="340"/>
    </row>
    <row r="123" spans="1:25" ht="15" thickBot="1" x14ac:dyDescent="0.3">
      <c r="A123" s="325"/>
      <c r="B123" s="325"/>
      <c r="C123" s="325"/>
      <c r="D123" s="325"/>
      <c r="E123" s="325"/>
      <c r="F123" s="325"/>
      <c r="G123" s="325"/>
      <c r="H123" s="325"/>
      <c r="I123" s="325"/>
      <c r="J123" s="325"/>
      <c r="K123" s="339"/>
      <c r="L123" s="340"/>
      <c r="M123" s="340"/>
      <c r="N123" s="340"/>
      <c r="O123" s="340"/>
      <c r="P123" s="340"/>
      <c r="Q123" s="340"/>
      <c r="R123" s="340"/>
      <c r="S123" s="348"/>
      <c r="T123" s="348"/>
      <c r="U123" s="348"/>
      <c r="V123" s="340"/>
      <c r="W123" s="340"/>
      <c r="X123" s="340"/>
      <c r="Y123" s="340"/>
    </row>
    <row r="124" spans="1:25" ht="15" thickBot="1" x14ac:dyDescent="0.3">
      <c r="A124" s="325"/>
      <c r="B124" s="325"/>
      <c r="C124" s="325"/>
      <c r="D124" s="325"/>
      <c r="E124" s="325"/>
      <c r="F124" s="325"/>
      <c r="G124" s="325"/>
      <c r="H124" s="325"/>
      <c r="I124" s="325"/>
      <c r="J124" s="325"/>
      <c r="K124" s="339"/>
      <c r="L124" s="340"/>
      <c r="M124" s="340"/>
      <c r="N124" s="340"/>
      <c r="O124" s="340"/>
      <c r="P124" s="340"/>
      <c r="Q124" s="340"/>
      <c r="R124" s="340"/>
      <c r="S124" s="348"/>
      <c r="T124" s="348"/>
      <c r="U124" s="348"/>
      <c r="V124" s="340"/>
      <c r="W124" s="340"/>
      <c r="X124" s="340"/>
      <c r="Y124" s="340"/>
    </row>
    <row r="125" spans="1:25" ht="15" thickBot="1" x14ac:dyDescent="0.3">
      <c r="A125" s="325"/>
      <c r="B125" s="325"/>
      <c r="C125" s="325"/>
      <c r="D125" s="325"/>
      <c r="E125" s="325"/>
      <c r="F125" s="325"/>
      <c r="G125" s="325"/>
      <c r="H125" s="325"/>
      <c r="I125" s="325"/>
      <c r="J125" s="325"/>
      <c r="K125" s="339"/>
      <c r="L125" s="340"/>
      <c r="M125" s="340"/>
      <c r="N125" s="340"/>
      <c r="O125" s="340"/>
      <c r="P125" s="340"/>
      <c r="Q125" s="340"/>
      <c r="R125" s="340"/>
      <c r="S125" s="348"/>
      <c r="T125" s="348"/>
      <c r="U125" s="348"/>
      <c r="V125" s="340"/>
      <c r="W125" s="340"/>
      <c r="X125" s="340"/>
      <c r="Y125" s="340"/>
    </row>
    <row r="126" spans="1:25" ht="15" thickBot="1" x14ac:dyDescent="0.3">
      <c r="A126" s="325"/>
      <c r="B126" s="325"/>
      <c r="C126" s="325"/>
      <c r="D126" s="325"/>
      <c r="E126" s="325"/>
      <c r="F126" s="325"/>
      <c r="G126" s="325"/>
      <c r="H126" s="325"/>
      <c r="I126" s="325"/>
      <c r="J126" s="325"/>
      <c r="K126" s="339"/>
      <c r="L126" s="340"/>
      <c r="M126" s="340"/>
      <c r="N126" s="340"/>
      <c r="O126" s="340"/>
      <c r="P126" s="340"/>
      <c r="Q126" s="340"/>
      <c r="R126" s="340"/>
      <c r="S126" s="348"/>
      <c r="T126" s="348"/>
      <c r="U126" s="348"/>
      <c r="V126" s="340"/>
      <c r="W126" s="340"/>
      <c r="X126" s="340"/>
      <c r="Y126" s="340"/>
    </row>
    <row r="127" spans="1:25" ht="15" thickBot="1" x14ac:dyDescent="0.3">
      <c r="A127" s="325"/>
      <c r="B127" s="325"/>
      <c r="C127" s="325"/>
      <c r="D127" s="325"/>
      <c r="E127" s="325"/>
      <c r="F127" s="325"/>
      <c r="G127" s="325"/>
      <c r="H127" s="325"/>
      <c r="I127" s="325"/>
      <c r="J127" s="325"/>
      <c r="K127" s="339"/>
      <c r="L127" s="340"/>
      <c r="M127" s="340"/>
      <c r="N127" s="340"/>
      <c r="O127" s="340"/>
      <c r="P127" s="340"/>
      <c r="Q127" s="340"/>
      <c r="R127" s="340"/>
      <c r="S127" s="348"/>
      <c r="T127" s="348"/>
      <c r="U127" s="348"/>
      <c r="V127" s="340"/>
      <c r="W127" s="340"/>
      <c r="X127" s="340"/>
      <c r="Y127" s="340"/>
    </row>
    <row r="128" spans="1:25" ht="15" thickBot="1" x14ac:dyDescent="0.3">
      <c r="A128" s="325"/>
      <c r="B128" s="325"/>
      <c r="C128" s="325"/>
      <c r="D128" s="325"/>
      <c r="E128" s="325"/>
      <c r="F128" s="325"/>
      <c r="G128" s="325"/>
      <c r="H128" s="325"/>
      <c r="I128" s="325"/>
      <c r="J128" s="325"/>
      <c r="K128" s="339"/>
      <c r="L128" s="340"/>
      <c r="M128" s="340"/>
      <c r="N128" s="340"/>
      <c r="O128" s="340"/>
      <c r="P128" s="340"/>
      <c r="Q128" s="340"/>
      <c r="R128" s="340"/>
      <c r="S128" s="348"/>
      <c r="T128" s="348"/>
      <c r="U128" s="348"/>
      <c r="V128" s="340"/>
      <c r="W128" s="340"/>
      <c r="X128" s="340"/>
      <c r="Y128" s="340"/>
    </row>
    <row r="129" spans="1:25" ht="15" thickBot="1" x14ac:dyDescent="0.3">
      <c r="A129" s="325"/>
      <c r="B129" s="325"/>
      <c r="C129" s="325"/>
      <c r="D129" s="325"/>
      <c r="E129" s="325"/>
      <c r="F129" s="325"/>
      <c r="G129" s="325"/>
      <c r="H129" s="325"/>
      <c r="I129" s="325"/>
      <c r="J129" s="325"/>
      <c r="K129" s="339"/>
      <c r="L129" s="340"/>
      <c r="M129" s="340"/>
      <c r="N129" s="340"/>
      <c r="O129" s="340"/>
      <c r="P129" s="340"/>
      <c r="Q129" s="340"/>
      <c r="R129" s="340"/>
      <c r="S129" s="348"/>
      <c r="T129" s="348"/>
      <c r="U129" s="348"/>
      <c r="V129" s="340"/>
      <c r="W129" s="340"/>
      <c r="X129" s="340"/>
      <c r="Y129" s="340"/>
    </row>
    <row r="130" spans="1:25" ht="15" thickBot="1" x14ac:dyDescent="0.3">
      <c r="A130" s="325"/>
      <c r="B130" s="325"/>
      <c r="C130" s="325"/>
      <c r="D130" s="325"/>
      <c r="E130" s="325"/>
      <c r="F130" s="325"/>
      <c r="G130" s="325"/>
      <c r="H130" s="325"/>
      <c r="I130" s="325"/>
      <c r="J130" s="325"/>
      <c r="K130" s="339"/>
      <c r="L130" s="340"/>
      <c r="M130" s="340"/>
      <c r="N130" s="340"/>
      <c r="O130" s="340"/>
      <c r="P130" s="340"/>
      <c r="Q130" s="340"/>
      <c r="R130" s="340"/>
      <c r="S130" s="348"/>
      <c r="T130" s="348"/>
      <c r="U130" s="348"/>
      <c r="V130" s="340"/>
      <c r="W130" s="340"/>
      <c r="X130" s="340"/>
      <c r="Y130" s="340"/>
    </row>
    <row r="131" spans="1:25" ht="15" thickBot="1" x14ac:dyDescent="0.3">
      <c r="A131" s="325"/>
      <c r="B131" s="325"/>
      <c r="C131" s="325"/>
      <c r="D131" s="325"/>
      <c r="E131" s="325"/>
      <c r="F131" s="325"/>
      <c r="G131" s="325"/>
      <c r="H131" s="325"/>
      <c r="I131" s="325"/>
      <c r="J131" s="325"/>
      <c r="K131" s="339"/>
      <c r="L131" s="340"/>
      <c r="M131" s="340"/>
      <c r="N131" s="340"/>
      <c r="O131" s="340"/>
      <c r="P131" s="340"/>
      <c r="Q131" s="340"/>
      <c r="R131" s="340"/>
      <c r="S131" s="348"/>
      <c r="T131" s="348"/>
      <c r="U131" s="348"/>
      <c r="V131" s="340"/>
      <c r="W131" s="340"/>
      <c r="X131" s="340"/>
      <c r="Y131" s="340"/>
    </row>
    <row r="132" spans="1:25" ht="15" thickBot="1" x14ac:dyDescent="0.3">
      <c r="A132" s="325"/>
      <c r="B132" s="325"/>
      <c r="C132" s="325"/>
      <c r="D132" s="325"/>
      <c r="E132" s="325"/>
      <c r="F132" s="325"/>
      <c r="G132" s="325"/>
      <c r="H132" s="325"/>
      <c r="I132" s="325"/>
      <c r="J132" s="325"/>
      <c r="K132" s="339"/>
      <c r="L132" s="340"/>
      <c r="M132" s="340"/>
      <c r="N132" s="340"/>
      <c r="O132" s="340"/>
      <c r="P132" s="340"/>
      <c r="Q132" s="340"/>
      <c r="R132" s="340"/>
      <c r="S132" s="348"/>
      <c r="T132" s="348"/>
      <c r="U132" s="348"/>
      <c r="V132" s="340"/>
      <c r="W132" s="340"/>
      <c r="X132" s="340"/>
      <c r="Y132" s="340"/>
    </row>
    <row r="133" spans="1:25" ht="15" thickBot="1" x14ac:dyDescent="0.3">
      <c r="A133" s="325"/>
      <c r="B133" s="325"/>
      <c r="C133" s="325"/>
      <c r="D133" s="325"/>
      <c r="E133" s="325"/>
      <c r="F133" s="325"/>
      <c r="G133" s="325"/>
      <c r="H133" s="325"/>
      <c r="I133" s="325"/>
      <c r="J133" s="325"/>
      <c r="K133" s="339"/>
      <c r="L133" s="340"/>
      <c r="M133" s="340"/>
      <c r="N133" s="340"/>
      <c r="O133" s="340"/>
      <c r="P133" s="340"/>
      <c r="Q133" s="340"/>
      <c r="R133" s="340"/>
      <c r="S133" s="348"/>
      <c r="T133" s="348"/>
      <c r="U133" s="348"/>
      <c r="V133" s="340"/>
      <c r="W133" s="340"/>
      <c r="X133" s="340"/>
      <c r="Y133" s="340"/>
    </row>
    <row r="134" spans="1:25" ht="15" thickBot="1" x14ac:dyDescent="0.3">
      <c r="A134" s="325"/>
      <c r="B134" s="325"/>
      <c r="C134" s="325"/>
      <c r="D134" s="325"/>
      <c r="E134" s="325"/>
      <c r="F134" s="325"/>
      <c r="G134" s="325"/>
      <c r="H134" s="325"/>
      <c r="I134" s="325"/>
      <c r="J134" s="325"/>
      <c r="K134" s="339"/>
      <c r="L134" s="340"/>
      <c r="M134" s="340"/>
      <c r="N134" s="340"/>
      <c r="O134" s="340"/>
      <c r="P134" s="340"/>
      <c r="Q134" s="340"/>
      <c r="R134" s="340"/>
      <c r="S134" s="348"/>
      <c r="T134" s="348"/>
      <c r="U134" s="348"/>
      <c r="V134" s="340"/>
      <c r="W134" s="340"/>
      <c r="X134" s="340"/>
      <c r="Y134" s="340"/>
    </row>
    <row r="135" spans="1:25" ht="15" thickBot="1" x14ac:dyDescent="0.3">
      <c r="A135" s="325"/>
      <c r="B135" s="325"/>
      <c r="C135" s="325"/>
      <c r="D135" s="325"/>
      <c r="E135" s="325"/>
      <c r="F135" s="325"/>
      <c r="G135" s="325"/>
      <c r="H135" s="325"/>
      <c r="I135" s="325"/>
      <c r="J135" s="325"/>
      <c r="K135" s="339"/>
      <c r="L135" s="340"/>
      <c r="M135" s="340"/>
      <c r="N135" s="340"/>
      <c r="O135" s="340"/>
      <c r="P135" s="340"/>
      <c r="Q135" s="340"/>
      <c r="R135" s="340"/>
      <c r="S135" s="348"/>
      <c r="T135" s="348"/>
      <c r="U135" s="348"/>
      <c r="V135" s="340"/>
      <c r="W135" s="340"/>
      <c r="X135" s="340"/>
      <c r="Y135" s="340"/>
    </row>
    <row r="136" spans="1:25" ht="15" thickBot="1" x14ac:dyDescent="0.3">
      <c r="A136" s="325"/>
      <c r="B136" s="325"/>
      <c r="C136" s="325"/>
      <c r="D136" s="325"/>
      <c r="E136" s="325"/>
      <c r="F136" s="325"/>
      <c r="G136" s="325"/>
      <c r="H136" s="325"/>
      <c r="I136" s="325"/>
      <c r="J136" s="325"/>
      <c r="K136" s="339"/>
      <c r="L136" s="340"/>
      <c r="M136" s="340"/>
      <c r="N136" s="340"/>
      <c r="O136" s="340"/>
      <c r="P136" s="340"/>
      <c r="Q136" s="340"/>
      <c r="R136" s="340"/>
      <c r="S136" s="348"/>
      <c r="T136" s="348"/>
      <c r="U136" s="348"/>
      <c r="V136" s="340"/>
      <c r="W136" s="340"/>
      <c r="X136" s="340"/>
      <c r="Y136" s="340"/>
    </row>
    <row r="137" spans="1:25" ht="15" thickBot="1" x14ac:dyDescent="0.3">
      <c r="A137" s="325"/>
      <c r="B137" s="325"/>
      <c r="C137" s="325"/>
      <c r="D137" s="325"/>
      <c r="E137" s="325"/>
      <c r="F137" s="325"/>
      <c r="G137" s="325"/>
      <c r="H137" s="325"/>
      <c r="I137" s="325"/>
      <c r="J137" s="325"/>
      <c r="K137" s="339"/>
      <c r="L137" s="340"/>
      <c r="M137" s="340"/>
      <c r="N137" s="340"/>
      <c r="O137" s="340"/>
      <c r="P137" s="340"/>
      <c r="Q137" s="340"/>
      <c r="R137" s="340"/>
      <c r="S137" s="348"/>
      <c r="T137" s="348"/>
      <c r="U137" s="348"/>
      <c r="V137" s="340"/>
      <c r="W137" s="340"/>
      <c r="X137" s="340"/>
      <c r="Y137" s="340"/>
    </row>
    <row r="138" spans="1:25" ht="15" thickBot="1" x14ac:dyDescent="0.3">
      <c r="A138" s="325"/>
      <c r="B138" s="325"/>
      <c r="C138" s="325"/>
      <c r="D138" s="325"/>
      <c r="E138" s="325"/>
      <c r="F138" s="325"/>
      <c r="G138" s="325"/>
      <c r="H138" s="325"/>
      <c r="I138" s="325"/>
      <c r="J138" s="325"/>
      <c r="K138" s="339"/>
      <c r="L138" s="340"/>
      <c r="M138" s="340"/>
      <c r="N138" s="340"/>
      <c r="O138" s="340"/>
      <c r="P138" s="340"/>
      <c r="Q138" s="340"/>
      <c r="R138" s="340"/>
      <c r="S138" s="348"/>
      <c r="T138" s="348"/>
      <c r="U138" s="348"/>
      <c r="V138" s="340"/>
      <c r="W138" s="340"/>
      <c r="X138" s="340"/>
      <c r="Y138" s="340"/>
    </row>
    <row r="139" spans="1:25" ht="15" thickBot="1" x14ac:dyDescent="0.3">
      <c r="A139" s="325"/>
      <c r="B139" s="325"/>
      <c r="C139" s="325"/>
      <c r="D139" s="325"/>
      <c r="E139" s="325"/>
      <c r="F139" s="325"/>
      <c r="G139" s="325"/>
      <c r="H139" s="325"/>
      <c r="I139" s="325"/>
      <c r="J139" s="325"/>
      <c r="K139" s="339"/>
      <c r="L139" s="340"/>
      <c r="M139" s="340"/>
      <c r="N139" s="340"/>
      <c r="O139" s="340"/>
      <c r="P139" s="340"/>
      <c r="Q139" s="340"/>
      <c r="R139" s="340"/>
      <c r="S139" s="348"/>
      <c r="T139" s="348"/>
      <c r="U139" s="348"/>
      <c r="V139" s="340"/>
      <c r="W139" s="340"/>
      <c r="X139" s="340"/>
      <c r="Y139" s="340"/>
    </row>
    <row r="140" spans="1:25" ht="15" thickBot="1" x14ac:dyDescent="0.3">
      <c r="A140" s="325"/>
      <c r="B140" s="325"/>
      <c r="C140" s="325"/>
      <c r="D140" s="325"/>
      <c r="E140" s="325"/>
      <c r="F140" s="325"/>
      <c r="G140" s="325"/>
      <c r="H140" s="325"/>
      <c r="I140" s="325"/>
      <c r="J140" s="325"/>
      <c r="K140" s="339"/>
      <c r="L140" s="340"/>
      <c r="M140" s="340"/>
      <c r="N140" s="340"/>
      <c r="O140" s="340"/>
      <c r="P140" s="340"/>
      <c r="Q140" s="340"/>
      <c r="R140" s="340"/>
      <c r="S140" s="348"/>
      <c r="T140" s="348"/>
      <c r="U140" s="348"/>
      <c r="V140" s="340"/>
      <c r="W140" s="340"/>
      <c r="X140" s="340"/>
      <c r="Y140" s="340"/>
    </row>
    <row r="141" spans="1:25" ht="15" thickBot="1" x14ac:dyDescent="0.3">
      <c r="A141" s="325"/>
      <c r="B141" s="325"/>
      <c r="C141" s="325"/>
      <c r="D141" s="325"/>
      <c r="E141" s="325"/>
      <c r="F141" s="325"/>
      <c r="G141" s="325"/>
      <c r="H141" s="325"/>
      <c r="I141" s="325"/>
      <c r="J141" s="325"/>
      <c r="K141" s="339"/>
      <c r="L141" s="340"/>
      <c r="M141" s="340"/>
      <c r="N141" s="340"/>
      <c r="O141" s="340"/>
      <c r="P141" s="340"/>
      <c r="Q141" s="340"/>
      <c r="R141" s="340"/>
      <c r="S141" s="348"/>
      <c r="T141" s="348"/>
      <c r="U141" s="348"/>
      <c r="V141" s="340"/>
      <c r="W141" s="340"/>
      <c r="X141" s="340"/>
      <c r="Y141" s="340"/>
    </row>
    <row r="142" spans="1:25" ht="15" thickBot="1" x14ac:dyDescent="0.3">
      <c r="A142" s="325"/>
      <c r="B142" s="325"/>
      <c r="C142" s="325"/>
      <c r="D142" s="325"/>
      <c r="E142" s="325"/>
      <c r="F142" s="325"/>
      <c r="G142" s="325"/>
      <c r="H142" s="325"/>
      <c r="I142" s="325"/>
      <c r="J142" s="325"/>
      <c r="K142" s="339"/>
      <c r="L142" s="340"/>
      <c r="M142" s="340"/>
      <c r="N142" s="340"/>
      <c r="O142" s="340"/>
      <c r="P142" s="340"/>
      <c r="Q142" s="340"/>
      <c r="R142" s="340"/>
      <c r="S142" s="348"/>
      <c r="T142" s="348"/>
      <c r="U142" s="348"/>
      <c r="V142" s="340"/>
      <c r="W142" s="340"/>
      <c r="X142" s="340"/>
      <c r="Y142" s="340"/>
    </row>
    <row r="143" spans="1:25" ht="15" thickBot="1" x14ac:dyDescent="0.3">
      <c r="A143" s="325"/>
      <c r="B143" s="325"/>
      <c r="C143" s="325"/>
      <c r="D143" s="325"/>
      <c r="E143" s="325"/>
      <c r="F143" s="325"/>
      <c r="G143" s="325"/>
      <c r="H143" s="325"/>
      <c r="I143" s="325"/>
      <c r="J143" s="325"/>
      <c r="K143" s="339"/>
      <c r="L143" s="340"/>
      <c r="M143" s="340"/>
      <c r="N143" s="340"/>
      <c r="O143" s="340"/>
      <c r="P143" s="340"/>
      <c r="Q143" s="340"/>
      <c r="R143" s="340"/>
      <c r="S143" s="348"/>
      <c r="T143" s="348"/>
      <c r="U143" s="348"/>
      <c r="V143" s="340"/>
      <c r="W143" s="340"/>
      <c r="X143" s="340"/>
      <c r="Y143" s="340"/>
    </row>
    <row r="144" spans="1:25" ht="15" thickBot="1" x14ac:dyDescent="0.3">
      <c r="A144" s="325"/>
      <c r="B144" s="325"/>
      <c r="C144" s="325"/>
      <c r="D144" s="325"/>
      <c r="E144" s="325"/>
      <c r="F144" s="325"/>
      <c r="G144" s="325"/>
      <c r="H144" s="325"/>
      <c r="I144" s="325"/>
      <c r="J144" s="325"/>
      <c r="K144" s="339"/>
      <c r="L144" s="340"/>
      <c r="M144" s="340"/>
      <c r="N144" s="340"/>
      <c r="O144" s="340"/>
      <c r="P144" s="340"/>
      <c r="Q144" s="340"/>
      <c r="R144" s="340"/>
      <c r="S144" s="348"/>
      <c r="T144" s="348"/>
      <c r="U144" s="348"/>
      <c r="V144" s="340"/>
      <c r="W144" s="340"/>
      <c r="X144" s="340"/>
      <c r="Y144" s="340"/>
    </row>
    <row r="145" spans="1:25" ht="15" thickBot="1" x14ac:dyDescent="0.3">
      <c r="A145" s="325"/>
      <c r="B145" s="325"/>
      <c r="C145" s="325"/>
      <c r="D145" s="325"/>
      <c r="E145" s="325"/>
      <c r="F145" s="325"/>
      <c r="G145" s="325"/>
      <c r="H145" s="325"/>
      <c r="I145" s="325"/>
      <c r="J145" s="325"/>
      <c r="K145" s="339"/>
      <c r="L145" s="340"/>
      <c r="M145" s="340"/>
      <c r="N145" s="340"/>
      <c r="O145" s="340"/>
      <c r="P145" s="340"/>
      <c r="Q145" s="340"/>
      <c r="R145" s="340"/>
      <c r="S145" s="348"/>
      <c r="T145" s="348"/>
      <c r="U145" s="348"/>
      <c r="V145" s="340"/>
      <c r="W145" s="340"/>
      <c r="X145" s="340"/>
      <c r="Y145" s="340"/>
    </row>
    <row r="146" spans="1:25" ht="15" thickBot="1" x14ac:dyDescent="0.3">
      <c r="A146" s="325"/>
      <c r="B146" s="325"/>
      <c r="C146" s="325"/>
      <c r="D146" s="325"/>
      <c r="E146" s="325"/>
      <c r="F146" s="325"/>
      <c r="G146" s="325"/>
      <c r="H146" s="325"/>
      <c r="I146" s="325"/>
      <c r="J146" s="325"/>
      <c r="K146" s="339"/>
      <c r="L146" s="340"/>
      <c r="M146" s="340"/>
      <c r="N146" s="340"/>
      <c r="O146" s="340"/>
      <c r="P146" s="340"/>
      <c r="Q146" s="340"/>
      <c r="R146" s="340"/>
      <c r="S146" s="348"/>
      <c r="T146" s="348"/>
      <c r="U146" s="348"/>
      <c r="V146" s="340"/>
      <c r="W146" s="340"/>
      <c r="X146" s="340"/>
      <c r="Y146" s="340"/>
    </row>
    <row r="147" spans="1:25" ht="15" thickBot="1" x14ac:dyDescent="0.3">
      <c r="A147" s="325"/>
      <c r="B147" s="325"/>
      <c r="C147" s="325"/>
      <c r="D147" s="325"/>
      <c r="E147" s="325"/>
      <c r="F147" s="325"/>
      <c r="G147" s="325"/>
      <c r="H147" s="325"/>
      <c r="I147" s="325"/>
      <c r="J147" s="325"/>
      <c r="K147" s="339"/>
      <c r="L147" s="340"/>
      <c r="M147" s="340"/>
      <c r="N147" s="340"/>
      <c r="O147" s="340"/>
      <c r="P147" s="340"/>
      <c r="Q147" s="340"/>
      <c r="R147" s="340"/>
      <c r="S147" s="348"/>
      <c r="T147" s="348"/>
      <c r="U147" s="348"/>
      <c r="V147" s="340"/>
      <c r="W147" s="340"/>
      <c r="X147" s="340"/>
      <c r="Y147" s="340"/>
    </row>
    <row r="148" spans="1:25" ht="15" thickBot="1" x14ac:dyDescent="0.3">
      <c r="A148" s="325"/>
      <c r="B148" s="325"/>
      <c r="C148" s="325"/>
      <c r="D148" s="325"/>
      <c r="E148" s="325"/>
      <c r="F148" s="325"/>
      <c r="G148" s="325"/>
      <c r="H148" s="325"/>
      <c r="I148" s="325"/>
      <c r="J148" s="325"/>
      <c r="K148" s="339"/>
      <c r="L148" s="340"/>
      <c r="M148" s="340"/>
      <c r="N148" s="340"/>
      <c r="O148" s="340"/>
      <c r="P148" s="340"/>
      <c r="Q148" s="340"/>
      <c r="R148" s="340"/>
      <c r="S148" s="348"/>
      <c r="T148" s="348"/>
      <c r="U148" s="348"/>
      <c r="V148" s="340"/>
      <c r="W148" s="340"/>
      <c r="X148" s="340"/>
      <c r="Y148" s="340"/>
    </row>
    <row r="149" spans="1:25" ht="15" thickBot="1" x14ac:dyDescent="0.3">
      <c r="A149" s="325"/>
      <c r="B149" s="325"/>
      <c r="C149" s="325"/>
      <c r="D149" s="325"/>
      <c r="E149" s="325"/>
      <c r="F149" s="325"/>
      <c r="G149" s="325"/>
      <c r="H149" s="325"/>
      <c r="I149" s="325"/>
      <c r="J149" s="325"/>
      <c r="K149" s="339"/>
      <c r="L149" s="340"/>
      <c r="M149" s="340"/>
      <c r="N149" s="340"/>
      <c r="O149" s="340"/>
      <c r="P149" s="340"/>
      <c r="Q149" s="340"/>
      <c r="R149" s="340"/>
      <c r="S149" s="348"/>
      <c r="T149" s="348"/>
      <c r="U149" s="348"/>
      <c r="V149" s="340"/>
      <c r="W149" s="340"/>
      <c r="X149" s="340"/>
      <c r="Y149" s="340"/>
    </row>
    <row r="150" spans="1:25" ht="15" thickBot="1" x14ac:dyDescent="0.3">
      <c r="A150" s="325"/>
      <c r="B150" s="325"/>
      <c r="C150" s="325"/>
      <c r="D150" s="325"/>
      <c r="E150" s="325"/>
      <c r="F150" s="325"/>
      <c r="G150" s="325"/>
      <c r="H150" s="325"/>
      <c r="I150" s="325"/>
      <c r="J150" s="325"/>
      <c r="K150" s="339"/>
      <c r="L150" s="340"/>
      <c r="M150" s="340"/>
      <c r="N150" s="340"/>
      <c r="O150" s="340"/>
      <c r="P150" s="340"/>
      <c r="Q150" s="340"/>
      <c r="R150" s="340"/>
      <c r="S150" s="348"/>
      <c r="T150" s="348"/>
      <c r="U150" s="348"/>
      <c r="V150" s="340"/>
      <c r="W150" s="340"/>
      <c r="X150" s="340"/>
      <c r="Y150" s="340"/>
    </row>
    <row r="151" spans="1:25" ht="15" thickBot="1" x14ac:dyDescent="0.3">
      <c r="A151" s="325"/>
      <c r="B151" s="325"/>
      <c r="C151" s="325"/>
      <c r="D151" s="325"/>
      <c r="E151" s="325"/>
      <c r="F151" s="325"/>
      <c r="G151" s="325"/>
      <c r="H151" s="325"/>
      <c r="I151" s="325"/>
      <c r="J151" s="325"/>
      <c r="K151" s="339"/>
      <c r="L151" s="340"/>
      <c r="M151" s="340"/>
      <c r="N151" s="340"/>
      <c r="O151" s="340"/>
      <c r="P151" s="340"/>
      <c r="Q151" s="340"/>
      <c r="R151" s="340"/>
      <c r="S151" s="348"/>
      <c r="T151" s="348"/>
      <c r="U151" s="348"/>
      <c r="V151" s="340"/>
      <c r="W151" s="340"/>
      <c r="X151" s="340"/>
      <c r="Y151" s="340"/>
    </row>
    <row r="152" spans="1:25" ht="15" thickBot="1" x14ac:dyDescent="0.3">
      <c r="A152" s="325"/>
      <c r="B152" s="325"/>
      <c r="C152" s="325"/>
      <c r="D152" s="325"/>
      <c r="E152" s="325"/>
      <c r="F152" s="325"/>
      <c r="G152" s="325"/>
      <c r="H152" s="325"/>
      <c r="I152" s="325"/>
      <c r="J152" s="325"/>
      <c r="K152" s="339"/>
      <c r="L152" s="340"/>
      <c r="M152" s="340"/>
      <c r="N152" s="340"/>
      <c r="O152" s="340"/>
      <c r="P152" s="340"/>
      <c r="Q152" s="340"/>
      <c r="R152" s="340"/>
      <c r="S152" s="348"/>
      <c r="T152" s="348"/>
      <c r="U152" s="348"/>
      <c r="V152" s="340"/>
      <c r="W152" s="340"/>
      <c r="X152" s="340"/>
      <c r="Y152" s="340"/>
    </row>
    <row r="153" spans="1:25" ht="15" thickBot="1" x14ac:dyDescent="0.3">
      <c r="A153" s="325"/>
      <c r="B153" s="325"/>
      <c r="C153" s="325"/>
      <c r="D153" s="325"/>
      <c r="E153" s="325"/>
      <c r="F153" s="325"/>
      <c r="G153" s="325"/>
      <c r="H153" s="325"/>
      <c r="I153" s="325"/>
      <c r="J153" s="325"/>
      <c r="K153" s="339"/>
      <c r="L153" s="340"/>
      <c r="M153" s="340"/>
      <c r="N153" s="340"/>
      <c r="O153" s="340"/>
      <c r="P153" s="340"/>
      <c r="Q153" s="340"/>
      <c r="R153" s="340"/>
      <c r="S153" s="348"/>
      <c r="T153" s="348"/>
      <c r="U153" s="348"/>
      <c r="V153" s="340"/>
      <c r="W153" s="340"/>
      <c r="X153" s="340"/>
      <c r="Y153" s="340"/>
    </row>
    <row r="154" spans="1:25" ht="15" thickBot="1" x14ac:dyDescent="0.3">
      <c r="A154" s="325"/>
      <c r="B154" s="325"/>
      <c r="C154" s="325"/>
      <c r="D154" s="325"/>
      <c r="E154" s="325"/>
      <c r="F154" s="325"/>
      <c r="G154" s="325"/>
      <c r="H154" s="325"/>
      <c r="I154" s="325"/>
      <c r="J154" s="325"/>
      <c r="K154" s="339"/>
      <c r="L154" s="340"/>
      <c r="M154" s="340"/>
      <c r="N154" s="340"/>
      <c r="O154" s="340"/>
      <c r="P154" s="340"/>
      <c r="Q154" s="340"/>
      <c r="R154" s="340"/>
      <c r="S154" s="348"/>
      <c r="T154" s="348"/>
      <c r="U154" s="348"/>
      <c r="V154" s="340"/>
      <c r="W154" s="340"/>
      <c r="X154" s="340"/>
      <c r="Y154" s="340"/>
    </row>
    <row r="155" spans="1:25" ht="15" thickBot="1" x14ac:dyDescent="0.3">
      <c r="A155" s="325"/>
      <c r="B155" s="325"/>
      <c r="C155" s="325"/>
      <c r="D155" s="325"/>
      <c r="E155" s="325"/>
      <c r="F155" s="325"/>
      <c r="G155" s="325"/>
      <c r="H155" s="325"/>
      <c r="I155" s="325"/>
      <c r="J155" s="325"/>
      <c r="K155" s="339"/>
      <c r="L155" s="340"/>
      <c r="M155" s="340"/>
      <c r="N155" s="340"/>
      <c r="O155" s="340"/>
      <c r="P155" s="340"/>
      <c r="Q155" s="340"/>
      <c r="R155" s="340"/>
      <c r="S155" s="348"/>
      <c r="T155" s="348"/>
      <c r="U155" s="348"/>
      <c r="V155" s="340"/>
      <c r="W155" s="340"/>
      <c r="X155" s="340"/>
      <c r="Y155" s="340"/>
    </row>
    <row r="156" spans="1:25" ht="15" thickBot="1" x14ac:dyDescent="0.3">
      <c r="A156" s="325"/>
      <c r="B156" s="325"/>
      <c r="C156" s="325"/>
      <c r="D156" s="325"/>
      <c r="E156" s="325"/>
      <c r="F156" s="325"/>
      <c r="G156" s="325"/>
      <c r="H156" s="325"/>
      <c r="I156" s="325"/>
      <c r="J156" s="325"/>
      <c r="K156" s="339"/>
      <c r="L156" s="340"/>
      <c r="M156" s="340"/>
      <c r="N156" s="340"/>
      <c r="O156" s="340"/>
      <c r="P156" s="340"/>
      <c r="Q156" s="340"/>
      <c r="R156" s="340"/>
      <c r="S156" s="348"/>
      <c r="T156" s="348"/>
      <c r="U156" s="348"/>
      <c r="V156" s="340"/>
      <c r="W156" s="340"/>
      <c r="X156" s="340"/>
      <c r="Y156" s="340"/>
    </row>
    <row r="157" spans="1:25" ht="15" thickBot="1" x14ac:dyDescent="0.3">
      <c r="A157" s="325"/>
      <c r="B157" s="325"/>
      <c r="C157" s="325"/>
      <c r="D157" s="325"/>
      <c r="E157" s="325"/>
      <c r="F157" s="325"/>
      <c r="G157" s="325"/>
      <c r="H157" s="325"/>
      <c r="I157" s="325"/>
      <c r="J157" s="325"/>
      <c r="K157" s="339"/>
      <c r="L157" s="340"/>
      <c r="M157" s="340"/>
      <c r="N157" s="340"/>
      <c r="O157" s="340"/>
      <c r="P157" s="340"/>
      <c r="Q157" s="340"/>
      <c r="R157" s="340"/>
      <c r="S157" s="348"/>
      <c r="T157" s="348"/>
      <c r="U157" s="348"/>
      <c r="V157" s="340"/>
      <c r="W157" s="340"/>
      <c r="X157" s="340"/>
      <c r="Y157" s="340"/>
    </row>
    <row r="158" spans="1:25" ht="15" thickBot="1" x14ac:dyDescent="0.3">
      <c r="A158" s="325"/>
      <c r="B158" s="325"/>
      <c r="C158" s="325"/>
      <c r="D158" s="325"/>
      <c r="E158" s="325"/>
      <c r="F158" s="325"/>
      <c r="G158" s="325"/>
      <c r="H158" s="325"/>
      <c r="I158" s="325"/>
      <c r="J158" s="325"/>
      <c r="K158" s="339"/>
      <c r="L158" s="340"/>
      <c r="M158" s="340"/>
      <c r="N158" s="340"/>
      <c r="O158" s="340"/>
      <c r="P158" s="340"/>
      <c r="Q158" s="340"/>
      <c r="R158" s="340"/>
      <c r="S158" s="348"/>
      <c r="T158" s="348"/>
      <c r="U158" s="348"/>
      <c r="V158" s="340"/>
      <c r="W158" s="340"/>
      <c r="X158" s="340"/>
      <c r="Y158" s="340"/>
    </row>
    <row r="159" spans="1:25" ht="15" thickBot="1" x14ac:dyDescent="0.3">
      <c r="A159" s="325"/>
      <c r="B159" s="325"/>
      <c r="C159" s="325"/>
      <c r="D159" s="325"/>
      <c r="E159" s="325"/>
      <c r="F159" s="325"/>
      <c r="G159" s="325"/>
      <c r="H159" s="325"/>
      <c r="I159" s="325"/>
      <c r="J159" s="325"/>
      <c r="K159" s="339"/>
      <c r="L159" s="340"/>
      <c r="M159" s="340"/>
      <c r="N159" s="340"/>
      <c r="O159" s="340"/>
      <c r="P159" s="340"/>
      <c r="Q159" s="340"/>
      <c r="R159" s="340"/>
      <c r="S159" s="348"/>
      <c r="T159" s="348"/>
      <c r="U159" s="348"/>
      <c r="V159" s="340"/>
      <c r="W159" s="340"/>
      <c r="X159" s="340"/>
      <c r="Y159" s="340"/>
    </row>
    <row r="160" spans="1:25" ht="15" thickBot="1" x14ac:dyDescent="0.3">
      <c r="A160" s="325"/>
      <c r="B160" s="325"/>
      <c r="C160" s="325"/>
      <c r="D160" s="325"/>
      <c r="E160" s="325"/>
      <c r="F160" s="325"/>
      <c r="G160" s="325"/>
      <c r="H160" s="325"/>
      <c r="I160" s="325"/>
      <c r="J160" s="325"/>
      <c r="K160" s="339"/>
      <c r="L160" s="340"/>
      <c r="M160" s="340"/>
      <c r="N160" s="340"/>
      <c r="O160" s="340"/>
      <c r="P160" s="340"/>
      <c r="Q160" s="340"/>
      <c r="R160" s="340"/>
      <c r="S160" s="348"/>
      <c r="T160" s="348"/>
      <c r="U160" s="348"/>
      <c r="V160" s="340"/>
      <c r="W160" s="340"/>
      <c r="X160" s="340"/>
      <c r="Y160" s="340"/>
    </row>
    <row r="161" spans="1:25" ht="15" thickBot="1" x14ac:dyDescent="0.3">
      <c r="A161" s="325"/>
      <c r="B161" s="325"/>
      <c r="C161" s="325"/>
      <c r="D161" s="325"/>
      <c r="E161" s="325"/>
      <c r="F161" s="325"/>
      <c r="G161" s="325"/>
      <c r="H161" s="325"/>
      <c r="I161" s="325"/>
      <c r="J161" s="325"/>
      <c r="K161" s="339"/>
      <c r="L161" s="340"/>
      <c r="M161" s="340"/>
      <c r="N161" s="340"/>
      <c r="O161" s="340"/>
      <c r="P161" s="340"/>
      <c r="Q161" s="340"/>
      <c r="R161" s="340"/>
      <c r="S161" s="348"/>
      <c r="T161" s="348"/>
      <c r="U161" s="348"/>
      <c r="V161" s="340"/>
      <c r="W161" s="340"/>
      <c r="X161" s="340"/>
      <c r="Y161" s="340"/>
    </row>
    <row r="162" spans="1:25" ht="15" thickBot="1" x14ac:dyDescent="0.3">
      <c r="A162" s="325"/>
      <c r="B162" s="325"/>
      <c r="C162" s="325"/>
      <c r="D162" s="325"/>
      <c r="E162" s="325"/>
      <c r="F162" s="325"/>
      <c r="G162" s="325"/>
      <c r="H162" s="325"/>
      <c r="I162" s="325"/>
      <c r="J162" s="325"/>
      <c r="K162" s="339"/>
      <c r="L162" s="340"/>
      <c r="M162" s="340"/>
      <c r="N162" s="340"/>
      <c r="O162" s="340"/>
      <c r="P162" s="340"/>
      <c r="Q162" s="340"/>
      <c r="R162" s="340"/>
      <c r="S162" s="348"/>
      <c r="T162" s="348"/>
      <c r="U162" s="348"/>
      <c r="V162" s="340"/>
      <c r="W162" s="340"/>
      <c r="X162" s="340"/>
      <c r="Y162" s="340"/>
    </row>
    <row r="163" spans="1:25" ht="15" thickBot="1" x14ac:dyDescent="0.3">
      <c r="A163" s="325"/>
      <c r="B163" s="325"/>
      <c r="C163" s="325"/>
      <c r="D163" s="325"/>
      <c r="E163" s="325"/>
      <c r="F163" s="325"/>
      <c r="G163" s="325"/>
      <c r="H163" s="325"/>
      <c r="I163" s="325"/>
      <c r="J163" s="325"/>
      <c r="K163" s="339"/>
      <c r="L163" s="340"/>
      <c r="M163" s="340"/>
      <c r="N163" s="340"/>
      <c r="O163" s="340"/>
      <c r="P163" s="340"/>
      <c r="Q163" s="340"/>
      <c r="R163" s="340"/>
      <c r="S163" s="348"/>
      <c r="T163" s="348"/>
      <c r="U163" s="348"/>
      <c r="V163" s="340"/>
      <c r="W163" s="340"/>
      <c r="X163" s="340"/>
      <c r="Y163" s="340"/>
    </row>
    <row r="164" spans="1:25" ht="15" thickBot="1" x14ac:dyDescent="0.3">
      <c r="A164" s="325"/>
      <c r="B164" s="325"/>
      <c r="C164" s="325"/>
      <c r="D164" s="325"/>
      <c r="E164" s="325"/>
      <c r="F164" s="325"/>
      <c r="G164" s="325"/>
      <c r="H164" s="325"/>
      <c r="I164" s="325"/>
      <c r="J164" s="325"/>
      <c r="K164" s="339"/>
      <c r="L164" s="340"/>
      <c r="M164" s="340"/>
      <c r="N164" s="340"/>
      <c r="O164" s="340"/>
      <c r="P164" s="340"/>
      <c r="Q164" s="340"/>
      <c r="R164" s="340"/>
      <c r="S164" s="348"/>
      <c r="T164" s="348"/>
      <c r="U164" s="348"/>
      <c r="V164" s="340"/>
      <c r="W164" s="340"/>
      <c r="X164" s="340"/>
      <c r="Y164" s="340"/>
    </row>
    <row r="165" spans="1:25" ht="15" thickBot="1" x14ac:dyDescent="0.3">
      <c r="A165" s="325"/>
      <c r="B165" s="325"/>
      <c r="C165" s="325"/>
      <c r="D165" s="325"/>
      <c r="E165" s="325"/>
      <c r="F165" s="325"/>
      <c r="G165" s="325"/>
      <c r="H165" s="325"/>
      <c r="I165" s="325"/>
      <c r="J165" s="325"/>
      <c r="K165" s="339"/>
      <c r="L165" s="340"/>
      <c r="M165" s="340"/>
      <c r="N165" s="340"/>
      <c r="O165" s="340"/>
      <c r="P165" s="340"/>
      <c r="Q165" s="340"/>
      <c r="R165" s="340"/>
      <c r="S165" s="348"/>
      <c r="T165" s="348"/>
      <c r="U165" s="348"/>
      <c r="V165" s="340"/>
      <c r="W165" s="340"/>
      <c r="X165" s="340"/>
      <c r="Y165" s="340"/>
    </row>
    <row r="166" spans="1:25" ht="15" thickBot="1" x14ac:dyDescent="0.3">
      <c r="A166" s="325"/>
      <c r="B166" s="325"/>
      <c r="C166" s="325"/>
      <c r="D166" s="325"/>
      <c r="E166" s="325"/>
      <c r="F166" s="325"/>
      <c r="G166" s="325"/>
      <c r="H166" s="325"/>
      <c r="I166" s="325"/>
      <c r="J166" s="325"/>
      <c r="K166" s="339"/>
      <c r="L166" s="340"/>
      <c r="M166" s="340"/>
      <c r="N166" s="340"/>
      <c r="O166" s="340"/>
      <c r="P166" s="340"/>
      <c r="Q166" s="340"/>
      <c r="R166" s="340"/>
      <c r="S166" s="348"/>
      <c r="T166" s="348"/>
      <c r="U166" s="348"/>
      <c r="V166" s="340"/>
      <c r="W166" s="340"/>
      <c r="X166" s="340"/>
      <c r="Y166" s="340"/>
    </row>
    <row r="167" spans="1:25" ht="15" thickBot="1" x14ac:dyDescent="0.3">
      <c r="A167" s="325"/>
      <c r="B167" s="325"/>
      <c r="C167" s="325"/>
      <c r="D167" s="325"/>
      <c r="E167" s="325"/>
      <c r="F167" s="325"/>
      <c r="G167" s="325"/>
      <c r="H167" s="325"/>
      <c r="I167" s="325"/>
      <c r="J167" s="325"/>
      <c r="K167" s="339"/>
      <c r="L167" s="340"/>
      <c r="M167" s="340"/>
      <c r="N167" s="340"/>
      <c r="O167" s="340"/>
      <c r="P167" s="340"/>
      <c r="Q167" s="340"/>
      <c r="R167" s="340"/>
      <c r="S167" s="348"/>
      <c r="T167" s="348"/>
      <c r="U167" s="348"/>
      <c r="V167" s="340"/>
      <c r="W167" s="340"/>
      <c r="X167" s="340"/>
      <c r="Y167" s="340"/>
    </row>
    <row r="168" spans="1:25" ht="15" thickBot="1" x14ac:dyDescent="0.3">
      <c r="A168" s="325"/>
      <c r="B168" s="325"/>
      <c r="C168" s="325"/>
      <c r="D168" s="325"/>
      <c r="E168" s="325"/>
      <c r="F168" s="325"/>
      <c r="G168" s="325"/>
      <c r="H168" s="325"/>
      <c r="I168" s="325"/>
      <c r="J168" s="325"/>
      <c r="K168" s="339"/>
      <c r="L168" s="340"/>
      <c r="M168" s="340"/>
      <c r="N168" s="340"/>
      <c r="O168" s="340"/>
      <c r="P168" s="340"/>
      <c r="Q168" s="340"/>
      <c r="R168" s="340"/>
      <c r="S168" s="348"/>
      <c r="T168" s="348"/>
      <c r="U168" s="348"/>
      <c r="V168" s="340"/>
      <c r="W168" s="340"/>
      <c r="X168" s="340"/>
      <c r="Y168" s="340"/>
    </row>
    <row r="169" spans="1:25" ht="15" thickBot="1" x14ac:dyDescent="0.3">
      <c r="A169" s="325"/>
      <c r="B169" s="325"/>
      <c r="C169" s="325"/>
      <c r="D169" s="325"/>
      <c r="E169" s="325"/>
      <c r="F169" s="325"/>
      <c r="G169" s="325"/>
      <c r="H169" s="325"/>
      <c r="I169" s="325"/>
      <c r="J169" s="325"/>
      <c r="K169" s="339"/>
      <c r="L169" s="340"/>
      <c r="M169" s="340"/>
      <c r="N169" s="340"/>
      <c r="O169" s="340"/>
      <c r="P169" s="340"/>
      <c r="Q169" s="340"/>
      <c r="R169" s="340"/>
      <c r="S169" s="348"/>
      <c r="T169" s="348"/>
      <c r="U169" s="348"/>
      <c r="V169" s="340"/>
      <c r="W169" s="340"/>
      <c r="X169" s="340"/>
      <c r="Y169" s="340"/>
    </row>
    <row r="170" spans="1:25" ht="15" thickBot="1" x14ac:dyDescent="0.3">
      <c r="A170" s="325"/>
      <c r="B170" s="325"/>
      <c r="C170" s="325"/>
      <c r="D170" s="325"/>
      <c r="E170" s="325"/>
      <c r="F170" s="325"/>
      <c r="G170" s="325"/>
      <c r="H170" s="325"/>
      <c r="I170" s="325"/>
      <c r="J170" s="325"/>
      <c r="K170" s="339"/>
      <c r="L170" s="340"/>
      <c r="M170" s="340"/>
      <c r="N170" s="340"/>
      <c r="O170" s="340"/>
      <c r="P170" s="340"/>
      <c r="Q170" s="340"/>
      <c r="R170" s="340"/>
      <c r="S170" s="348"/>
      <c r="T170" s="348"/>
      <c r="U170" s="348"/>
      <c r="V170" s="340"/>
      <c r="W170" s="340"/>
      <c r="X170" s="340"/>
      <c r="Y170" s="340"/>
    </row>
    <row r="171" spans="1:25" ht="15" thickBot="1" x14ac:dyDescent="0.3">
      <c r="A171" s="325"/>
      <c r="B171" s="325"/>
      <c r="C171" s="325"/>
      <c r="D171" s="325"/>
      <c r="E171" s="325"/>
      <c r="F171" s="325"/>
      <c r="G171" s="325"/>
      <c r="H171" s="325"/>
      <c r="I171" s="325"/>
      <c r="J171" s="325"/>
      <c r="K171" s="339"/>
      <c r="L171" s="340"/>
      <c r="M171" s="340"/>
      <c r="N171" s="340"/>
      <c r="O171" s="340"/>
      <c r="P171" s="340"/>
      <c r="Q171" s="340"/>
      <c r="R171" s="340"/>
      <c r="S171" s="348"/>
      <c r="T171" s="348"/>
      <c r="U171" s="348"/>
      <c r="V171" s="340"/>
      <c r="W171" s="340"/>
      <c r="X171" s="340"/>
      <c r="Y171" s="340"/>
    </row>
    <row r="172" spans="1:25" ht="15" thickBot="1" x14ac:dyDescent="0.3">
      <c r="A172" s="325"/>
      <c r="B172" s="325"/>
      <c r="C172" s="325"/>
      <c r="D172" s="325"/>
      <c r="E172" s="325"/>
      <c r="F172" s="325"/>
      <c r="G172" s="325"/>
      <c r="H172" s="325"/>
      <c r="I172" s="325"/>
      <c r="J172" s="325"/>
      <c r="K172" s="339"/>
      <c r="L172" s="340"/>
      <c r="M172" s="340"/>
      <c r="N172" s="340"/>
      <c r="O172" s="340"/>
      <c r="P172" s="340"/>
      <c r="Q172" s="340"/>
      <c r="R172" s="340"/>
      <c r="S172" s="348"/>
      <c r="T172" s="348"/>
      <c r="U172" s="348"/>
      <c r="V172" s="340"/>
      <c r="W172" s="340"/>
      <c r="X172" s="340"/>
      <c r="Y172" s="340"/>
    </row>
    <row r="173" spans="1:25" ht="15" thickBot="1" x14ac:dyDescent="0.3">
      <c r="A173" s="325"/>
      <c r="B173" s="325"/>
      <c r="C173" s="325"/>
      <c r="D173" s="325"/>
      <c r="E173" s="325"/>
      <c r="F173" s="325"/>
      <c r="G173" s="325"/>
      <c r="H173" s="325"/>
      <c r="I173" s="325"/>
      <c r="J173" s="325"/>
      <c r="K173" s="339"/>
      <c r="L173" s="340"/>
      <c r="M173" s="340"/>
      <c r="N173" s="340"/>
      <c r="O173" s="340"/>
      <c r="P173" s="340"/>
      <c r="Q173" s="340"/>
      <c r="R173" s="340"/>
      <c r="S173" s="348"/>
      <c r="T173" s="348"/>
      <c r="U173" s="348"/>
      <c r="V173" s="340"/>
      <c r="W173" s="340"/>
      <c r="X173" s="340"/>
      <c r="Y173" s="340"/>
    </row>
    <row r="174" spans="1:25" ht="15" thickBot="1" x14ac:dyDescent="0.3">
      <c r="A174" s="325"/>
      <c r="B174" s="325"/>
      <c r="C174" s="325"/>
      <c r="D174" s="325"/>
      <c r="E174" s="325"/>
      <c r="F174" s="325"/>
      <c r="G174" s="325"/>
      <c r="H174" s="325"/>
      <c r="I174" s="325"/>
      <c r="J174" s="325"/>
      <c r="K174" s="339"/>
      <c r="L174" s="340"/>
      <c r="M174" s="340"/>
      <c r="N174" s="340"/>
      <c r="O174" s="340"/>
      <c r="P174" s="340"/>
      <c r="Q174" s="340"/>
      <c r="R174" s="340"/>
      <c r="S174" s="348"/>
      <c r="T174" s="348"/>
      <c r="U174" s="348"/>
      <c r="V174" s="340"/>
      <c r="W174" s="340"/>
      <c r="X174" s="340"/>
      <c r="Y174" s="340"/>
    </row>
    <row r="175" spans="1:25" ht="15" thickBot="1" x14ac:dyDescent="0.3">
      <c r="A175" s="325"/>
      <c r="B175" s="325"/>
      <c r="C175" s="325"/>
      <c r="D175" s="325"/>
      <c r="E175" s="325"/>
      <c r="F175" s="325"/>
      <c r="G175" s="325"/>
      <c r="H175" s="325"/>
      <c r="I175" s="325"/>
      <c r="J175" s="325"/>
      <c r="K175" s="339"/>
      <c r="L175" s="340"/>
      <c r="M175" s="340"/>
      <c r="N175" s="340"/>
      <c r="O175" s="340"/>
      <c r="P175" s="340"/>
      <c r="Q175" s="340"/>
      <c r="R175" s="340"/>
      <c r="S175" s="348"/>
      <c r="T175" s="348"/>
      <c r="U175" s="348"/>
      <c r="V175" s="340"/>
      <c r="W175" s="340"/>
      <c r="X175" s="340"/>
      <c r="Y175" s="340"/>
    </row>
    <row r="176" spans="1:25" ht="15" thickBot="1" x14ac:dyDescent="0.3">
      <c r="A176" s="325"/>
      <c r="B176" s="325"/>
      <c r="C176" s="325"/>
      <c r="D176" s="325"/>
      <c r="E176" s="325"/>
      <c r="F176" s="325"/>
      <c r="G176" s="325"/>
      <c r="H176" s="325"/>
      <c r="I176" s="325"/>
      <c r="J176" s="325"/>
      <c r="K176" s="339"/>
      <c r="L176" s="340"/>
      <c r="M176" s="340"/>
      <c r="N176" s="340"/>
      <c r="O176" s="340"/>
      <c r="P176" s="340"/>
      <c r="Q176" s="340"/>
      <c r="R176" s="340"/>
      <c r="S176" s="348"/>
      <c r="T176" s="348"/>
      <c r="U176" s="348"/>
      <c r="V176" s="340"/>
      <c r="W176" s="340"/>
      <c r="X176" s="340"/>
      <c r="Y176" s="340"/>
    </row>
    <row r="177" spans="1:25" ht="15" thickBot="1" x14ac:dyDescent="0.3">
      <c r="A177" s="325"/>
      <c r="B177" s="325"/>
      <c r="C177" s="325"/>
      <c r="D177" s="325"/>
      <c r="E177" s="325"/>
      <c r="F177" s="325"/>
      <c r="G177" s="325"/>
      <c r="H177" s="325"/>
      <c r="I177" s="325"/>
      <c r="J177" s="325"/>
      <c r="K177" s="339"/>
      <c r="L177" s="340"/>
      <c r="M177" s="340"/>
      <c r="N177" s="340"/>
      <c r="O177" s="340"/>
      <c r="P177" s="340"/>
      <c r="Q177" s="340"/>
      <c r="R177" s="340"/>
      <c r="S177" s="348"/>
      <c r="T177" s="348"/>
      <c r="U177" s="348"/>
      <c r="V177" s="340"/>
      <c r="W177" s="340"/>
      <c r="X177" s="340"/>
      <c r="Y177" s="340"/>
    </row>
    <row r="178" spans="1:25" ht="15" thickBot="1" x14ac:dyDescent="0.3">
      <c r="A178" s="325"/>
      <c r="B178" s="325"/>
      <c r="C178" s="325"/>
      <c r="D178" s="325"/>
      <c r="E178" s="325"/>
      <c r="F178" s="325"/>
      <c r="G178" s="325"/>
      <c r="H178" s="325"/>
      <c r="I178" s="325"/>
      <c r="J178" s="325"/>
      <c r="K178" s="339"/>
      <c r="L178" s="340"/>
      <c r="M178" s="340"/>
      <c r="N178" s="340"/>
      <c r="O178" s="340"/>
      <c r="P178" s="340"/>
      <c r="Q178" s="340"/>
      <c r="R178" s="340"/>
      <c r="S178" s="348"/>
      <c r="T178" s="348"/>
      <c r="U178" s="348"/>
      <c r="V178" s="340"/>
      <c r="W178" s="340"/>
      <c r="X178" s="340"/>
      <c r="Y178" s="340"/>
    </row>
    <row r="179" spans="1:25" ht="15" thickBot="1" x14ac:dyDescent="0.3">
      <c r="A179" s="325"/>
      <c r="B179" s="325"/>
      <c r="C179" s="325"/>
      <c r="D179" s="325"/>
      <c r="E179" s="325"/>
      <c r="F179" s="325"/>
      <c r="G179" s="325"/>
      <c r="H179" s="325"/>
      <c r="I179" s="325"/>
      <c r="J179" s="325"/>
      <c r="K179" s="339"/>
      <c r="L179" s="340"/>
      <c r="M179" s="340"/>
      <c r="N179" s="340"/>
      <c r="O179" s="340"/>
      <c r="P179" s="340"/>
      <c r="Q179" s="340"/>
      <c r="R179" s="340"/>
      <c r="S179" s="348"/>
      <c r="T179" s="348"/>
      <c r="U179" s="348"/>
      <c r="V179" s="340"/>
      <c r="W179" s="340"/>
      <c r="X179" s="340"/>
      <c r="Y179" s="340"/>
    </row>
    <row r="180" spans="1:25" ht="15" thickBot="1" x14ac:dyDescent="0.3">
      <c r="A180" s="325"/>
      <c r="B180" s="325"/>
      <c r="C180" s="325"/>
      <c r="D180" s="325"/>
      <c r="E180" s="325"/>
      <c r="F180" s="325"/>
      <c r="G180" s="325"/>
      <c r="H180" s="325"/>
      <c r="I180" s="325"/>
      <c r="J180" s="325"/>
      <c r="K180" s="339"/>
      <c r="L180" s="340"/>
      <c r="M180" s="340"/>
      <c r="N180" s="340"/>
      <c r="O180" s="340"/>
      <c r="P180" s="340"/>
      <c r="Q180" s="340"/>
      <c r="R180" s="340"/>
      <c r="S180" s="348"/>
      <c r="T180" s="348"/>
      <c r="U180" s="348"/>
      <c r="V180" s="340"/>
      <c r="W180" s="340"/>
      <c r="X180" s="340"/>
      <c r="Y180" s="340"/>
    </row>
    <row r="181" spans="1:25" ht="15" thickBot="1" x14ac:dyDescent="0.3">
      <c r="A181" s="325"/>
      <c r="B181" s="325"/>
      <c r="C181" s="325"/>
      <c r="D181" s="325"/>
      <c r="E181" s="325"/>
      <c r="F181" s="325"/>
      <c r="G181" s="325"/>
      <c r="H181" s="325"/>
      <c r="I181" s="325"/>
      <c r="J181" s="325"/>
      <c r="K181" s="339"/>
      <c r="L181" s="340"/>
      <c r="M181" s="340"/>
      <c r="N181" s="340"/>
      <c r="O181" s="340"/>
      <c r="P181" s="340"/>
      <c r="Q181" s="340"/>
      <c r="R181" s="340"/>
      <c r="S181" s="348"/>
      <c r="T181" s="348"/>
      <c r="U181" s="348"/>
      <c r="V181" s="340"/>
      <c r="W181" s="340"/>
      <c r="X181" s="340"/>
      <c r="Y181" s="340"/>
    </row>
    <row r="182" spans="1:25" ht="15" thickBot="1" x14ac:dyDescent="0.3">
      <c r="A182" s="325"/>
      <c r="B182" s="325"/>
      <c r="C182" s="325"/>
      <c r="D182" s="325"/>
      <c r="E182" s="325"/>
      <c r="F182" s="325"/>
      <c r="G182" s="325"/>
      <c r="H182" s="325"/>
      <c r="I182" s="325"/>
      <c r="J182" s="325"/>
      <c r="K182" s="339"/>
      <c r="L182" s="340"/>
      <c r="M182" s="340"/>
      <c r="N182" s="340"/>
      <c r="O182" s="340"/>
      <c r="P182" s="340"/>
      <c r="Q182" s="340"/>
      <c r="R182" s="340"/>
      <c r="S182" s="348"/>
      <c r="T182" s="348"/>
      <c r="U182" s="348"/>
      <c r="V182" s="340"/>
      <c r="W182" s="340"/>
      <c r="X182" s="340"/>
      <c r="Y182" s="340"/>
    </row>
    <row r="183" spans="1:25" ht="15" thickBot="1" x14ac:dyDescent="0.3">
      <c r="A183" s="325"/>
      <c r="B183" s="325"/>
      <c r="C183" s="325"/>
      <c r="D183" s="325"/>
      <c r="E183" s="325"/>
      <c r="F183" s="325"/>
      <c r="G183" s="325"/>
      <c r="H183" s="325"/>
      <c r="I183" s="325"/>
      <c r="J183" s="325"/>
      <c r="K183" s="339"/>
      <c r="L183" s="340"/>
      <c r="M183" s="340"/>
      <c r="N183" s="340"/>
      <c r="O183" s="340"/>
      <c r="P183" s="340"/>
      <c r="Q183" s="340"/>
      <c r="R183" s="340"/>
      <c r="S183" s="348"/>
      <c r="T183" s="348"/>
      <c r="U183" s="348"/>
      <c r="V183" s="340"/>
      <c r="W183" s="340"/>
      <c r="X183" s="340"/>
      <c r="Y183" s="340"/>
    </row>
    <row r="184" spans="1:25" ht="15" thickBot="1" x14ac:dyDescent="0.3">
      <c r="A184" s="325"/>
      <c r="B184" s="325"/>
      <c r="C184" s="325"/>
      <c r="D184" s="325"/>
      <c r="E184" s="325"/>
      <c r="F184" s="325"/>
      <c r="G184" s="325"/>
      <c r="H184" s="325"/>
      <c r="I184" s="325"/>
      <c r="J184" s="325"/>
      <c r="K184" s="339"/>
      <c r="L184" s="340"/>
      <c r="M184" s="340"/>
      <c r="N184" s="340"/>
      <c r="O184" s="340"/>
      <c r="P184" s="340"/>
      <c r="Q184" s="340"/>
      <c r="R184" s="340"/>
      <c r="S184" s="348"/>
      <c r="T184" s="348"/>
      <c r="U184" s="348"/>
      <c r="V184" s="340"/>
      <c r="W184" s="340"/>
      <c r="X184" s="340"/>
      <c r="Y184" s="340"/>
    </row>
    <row r="185" spans="1:25" ht="15" thickBot="1" x14ac:dyDescent="0.3">
      <c r="A185" s="325"/>
      <c r="B185" s="325"/>
      <c r="C185" s="325"/>
      <c r="D185" s="325"/>
      <c r="E185" s="325"/>
      <c r="F185" s="325"/>
      <c r="G185" s="325"/>
      <c r="H185" s="325"/>
      <c r="I185" s="325"/>
      <c r="J185" s="325"/>
      <c r="K185" s="339"/>
      <c r="L185" s="340"/>
      <c r="M185" s="340"/>
      <c r="N185" s="340"/>
      <c r="O185" s="340"/>
      <c r="P185" s="340"/>
      <c r="Q185" s="340"/>
      <c r="R185" s="340"/>
      <c r="S185" s="348"/>
      <c r="T185" s="348"/>
      <c r="U185" s="348"/>
      <c r="V185" s="340"/>
      <c r="W185" s="340"/>
      <c r="X185" s="340"/>
      <c r="Y185" s="340"/>
    </row>
    <row r="186" spans="1:25" ht="15" thickBot="1" x14ac:dyDescent="0.3">
      <c r="A186" s="325"/>
      <c r="B186" s="325"/>
      <c r="C186" s="325"/>
      <c r="D186" s="325"/>
      <c r="E186" s="325"/>
      <c r="F186" s="325"/>
      <c r="G186" s="325"/>
      <c r="H186" s="325"/>
      <c r="I186" s="325"/>
      <c r="J186" s="325"/>
      <c r="K186" s="339"/>
      <c r="L186" s="340"/>
      <c r="M186" s="340"/>
      <c r="N186" s="340"/>
      <c r="O186" s="340"/>
      <c r="P186" s="340"/>
      <c r="Q186" s="340"/>
      <c r="R186" s="340"/>
      <c r="S186" s="348"/>
      <c r="T186" s="348"/>
      <c r="U186" s="348"/>
      <c r="V186" s="340"/>
      <c r="W186" s="340"/>
      <c r="X186" s="340"/>
      <c r="Y186" s="340"/>
    </row>
    <row r="187" spans="1:25" ht="15" thickBot="1" x14ac:dyDescent="0.3">
      <c r="A187" s="325"/>
      <c r="B187" s="325"/>
      <c r="C187" s="325"/>
      <c r="D187" s="325"/>
      <c r="E187" s="325"/>
      <c r="F187" s="325"/>
      <c r="G187" s="325"/>
      <c r="H187" s="325"/>
      <c r="I187" s="325"/>
      <c r="J187" s="325"/>
      <c r="K187" s="339"/>
      <c r="L187" s="340"/>
      <c r="M187" s="340"/>
      <c r="N187" s="340"/>
      <c r="O187" s="340"/>
      <c r="P187" s="340"/>
      <c r="Q187" s="340"/>
      <c r="R187" s="340"/>
      <c r="S187" s="348"/>
      <c r="T187" s="348"/>
      <c r="U187" s="348"/>
      <c r="V187" s="340"/>
      <c r="W187" s="340"/>
      <c r="X187" s="340"/>
      <c r="Y187" s="340"/>
    </row>
    <row r="188" spans="1:25" ht="15" thickBot="1" x14ac:dyDescent="0.3">
      <c r="A188" s="325"/>
      <c r="B188" s="325"/>
      <c r="C188" s="325"/>
      <c r="D188" s="325"/>
      <c r="E188" s="325"/>
      <c r="F188" s="325"/>
      <c r="G188" s="325"/>
      <c r="H188" s="325"/>
      <c r="I188" s="325"/>
      <c r="J188" s="325"/>
      <c r="K188" s="339"/>
      <c r="L188" s="340"/>
      <c r="M188" s="340"/>
      <c r="N188" s="340"/>
      <c r="O188" s="340"/>
      <c r="P188" s="340"/>
      <c r="Q188" s="340"/>
      <c r="R188" s="340"/>
      <c r="S188" s="348"/>
      <c r="T188" s="348"/>
      <c r="U188" s="348"/>
      <c r="V188" s="340"/>
      <c r="W188" s="340"/>
      <c r="X188" s="340"/>
      <c r="Y188" s="340"/>
    </row>
    <row r="189" spans="1:25" ht="15" thickBot="1" x14ac:dyDescent="0.3">
      <c r="A189" s="325"/>
      <c r="B189" s="325"/>
      <c r="C189" s="325"/>
      <c r="D189" s="325"/>
      <c r="E189" s="325"/>
      <c r="F189" s="325"/>
      <c r="G189" s="325"/>
      <c r="H189" s="325"/>
      <c r="I189" s="325"/>
      <c r="J189" s="325"/>
      <c r="K189" s="339"/>
      <c r="L189" s="340"/>
      <c r="M189" s="340"/>
      <c r="N189" s="340"/>
      <c r="O189" s="340"/>
      <c r="P189" s="340"/>
      <c r="Q189" s="340"/>
      <c r="R189" s="340"/>
      <c r="S189" s="348"/>
      <c r="T189" s="348"/>
      <c r="U189" s="348"/>
      <c r="V189" s="340"/>
      <c r="W189" s="340"/>
      <c r="X189" s="340"/>
      <c r="Y189" s="340"/>
    </row>
    <row r="190" spans="1:25" ht="15" thickBot="1" x14ac:dyDescent="0.3">
      <c r="A190" s="325"/>
      <c r="B190" s="325"/>
      <c r="C190" s="325"/>
      <c r="D190" s="325"/>
      <c r="E190" s="325"/>
      <c r="F190" s="325"/>
      <c r="G190" s="325"/>
      <c r="H190" s="325"/>
      <c r="I190" s="325"/>
      <c r="J190" s="325"/>
      <c r="K190" s="339"/>
      <c r="L190" s="340"/>
      <c r="M190" s="340"/>
      <c r="N190" s="340"/>
      <c r="O190" s="340"/>
      <c r="P190" s="340"/>
      <c r="Q190" s="340"/>
      <c r="R190" s="340"/>
      <c r="S190" s="348"/>
      <c r="T190" s="348"/>
      <c r="U190" s="348"/>
      <c r="V190" s="340"/>
      <c r="W190" s="340"/>
      <c r="X190" s="340"/>
      <c r="Y190" s="340"/>
    </row>
    <row r="191" spans="1:25" ht="15" thickBot="1" x14ac:dyDescent="0.3">
      <c r="A191" s="325"/>
      <c r="B191" s="325"/>
      <c r="C191" s="325"/>
      <c r="D191" s="325"/>
      <c r="E191" s="325"/>
      <c r="F191" s="325"/>
      <c r="G191" s="325"/>
      <c r="H191" s="325"/>
      <c r="I191" s="325"/>
      <c r="J191" s="325"/>
      <c r="K191" s="339"/>
      <c r="L191" s="340"/>
      <c r="M191" s="340"/>
      <c r="N191" s="340"/>
      <c r="O191" s="340"/>
      <c r="P191" s="340"/>
      <c r="Q191" s="340"/>
      <c r="R191" s="340"/>
      <c r="S191" s="348"/>
      <c r="T191" s="348"/>
      <c r="U191" s="348"/>
      <c r="V191" s="340"/>
      <c r="W191" s="340"/>
      <c r="X191" s="340"/>
      <c r="Y191" s="340"/>
    </row>
    <row r="192" spans="1:25" ht="15" thickBot="1" x14ac:dyDescent="0.3">
      <c r="A192" s="325"/>
      <c r="B192" s="325"/>
      <c r="C192" s="325"/>
      <c r="D192" s="325"/>
      <c r="E192" s="325"/>
      <c r="F192" s="325"/>
      <c r="G192" s="325"/>
      <c r="H192" s="325"/>
      <c r="I192" s="325"/>
      <c r="J192" s="325"/>
      <c r="K192" s="339"/>
      <c r="L192" s="340"/>
      <c r="M192" s="340"/>
      <c r="N192" s="340"/>
      <c r="O192" s="340"/>
      <c r="P192" s="340"/>
      <c r="Q192" s="340"/>
      <c r="R192" s="340"/>
      <c r="S192" s="348"/>
      <c r="T192" s="348"/>
      <c r="U192" s="348"/>
      <c r="V192" s="340"/>
      <c r="W192" s="340"/>
      <c r="X192" s="340"/>
      <c r="Y192" s="340"/>
    </row>
    <row r="193" spans="1:25" ht="15" thickBot="1" x14ac:dyDescent="0.3">
      <c r="A193" s="325"/>
      <c r="B193" s="325"/>
      <c r="C193" s="325"/>
      <c r="D193" s="325"/>
      <c r="E193" s="325"/>
      <c r="F193" s="325"/>
      <c r="G193" s="325"/>
      <c r="H193" s="325"/>
      <c r="I193" s="325"/>
      <c r="J193" s="325"/>
      <c r="K193" s="339"/>
      <c r="L193" s="340"/>
      <c r="M193" s="340"/>
      <c r="N193" s="340"/>
      <c r="O193" s="340"/>
      <c r="P193" s="340"/>
      <c r="Q193" s="340"/>
      <c r="R193" s="340"/>
      <c r="S193" s="348"/>
      <c r="T193" s="348"/>
      <c r="U193" s="348"/>
      <c r="V193" s="340"/>
      <c r="W193" s="340"/>
      <c r="X193" s="340"/>
      <c r="Y193" s="340"/>
    </row>
    <row r="194" spans="1:25" ht="15" thickBot="1" x14ac:dyDescent="0.3">
      <c r="A194" s="325"/>
      <c r="B194" s="325"/>
      <c r="C194" s="325"/>
      <c r="D194" s="325"/>
      <c r="E194" s="325"/>
      <c r="F194" s="325"/>
      <c r="G194" s="325"/>
      <c r="H194" s="325"/>
      <c r="I194" s="325"/>
      <c r="J194" s="325"/>
      <c r="K194" s="339"/>
      <c r="L194" s="340"/>
      <c r="M194" s="340"/>
      <c r="N194" s="340"/>
      <c r="O194" s="340"/>
      <c r="P194" s="340"/>
      <c r="Q194" s="340"/>
      <c r="R194" s="340"/>
      <c r="S194" s="348"/>
      <c r="T194" s="348"/>
      <c r="U194" s="348"/>
      <c r="V194" s="340"/>
      <c r="W194" s="340"/>
      <c r="X194" s="340"/>
      <c r="Y194" s="340"/>
    </row>
    <row r="195" spans="1:25" ht="15" thickBot="1" x14ac:dyDescent="0.3">
      <c r="A195" s="325"/>
      <c r="B195" s="325"/>
      <c r="C195" s="325"/>
      <c r="D195" s="325"/>
      <c r="E195" s="325"/>
      <c r="F195" s="325"/>
      <c r="G195" s="325"/>
      <c r="H195" s="325"/>
      <c r="I195" s="325"/>
      <c r="J195" s="325"/>
      <c r="K195" s="339"/>
      <c r="L195" s="340"/>
      <c r="M195" s="340"/>
      <c r="N195" s="340"/>
      <c r="O195" s="340"/>
      <c r="P195" s="340"/>
      <c r="Q195" s="340"/>
      <c r="R195" s="340"/>
      <c r="S195" s="348"/>
      <c r="T195" s="348"/>
      <c r="U195" s="348"/>
      <c r="V195" s="340"/>
      <c r="W195" s="340"/>
      <c r="X195" s="340"/>
      <c r="Y195" s="340"/>
    </row>
    <row r="196" spans="1:25" ht="15" thickBot="1" x14ac:dyDescent="0.3">
      <c r="A196" s="325"/>
      <c r="B196" s="325"/>
      <c r="C196" s="325"/>
      <c r="D196" s="325"/>
      <c r="E196" s="325"/>
      <c r="F196" s="325"/>
      <c r="G196" s="325"/>
      <c r="H196" s="325"/>
      <c r="I196" s="325"/>
      <c r="J196" s="325"/>
      <c r="K196" s="339"/>
      <c r="L196" s="340"/>
      <c r="M196" s="340"/>
      <c r="N196" s="340"/>
      <c r="O196" s="340"/>
      <c r="P196" s="340"/>
      <c r="Q196" s="340"/>
      <c r="R196" s="340"/>
      <c r="S196" s="348"/>
      <c r="T196" s="348"/>
      <c r="U196" s="348"/>
      <c r="V196" s="340"/>
      <c r="W196" s="340"/>
      <c r="X196" s="340"/>
      <c r="Y196" s="340"/>
    </row>
    <row r="197" spans="1:25" ht="15" thickBot="1" x14ac:dyDescent="0.3">
      <c r="A197" s="325"/>
      <c r="B197" s="325"/>
      <c r="C197" s="325"/>
      <c r="D197" s="325"/>
      <c r="E197" s="325"/>
      <c r="F197" s="325"/>
      <c r="G197" s="325"/>
      <c r="H197" s="325"/>
      <c r="I197" s="325"/>
      <c r="J197" s="325"/>
      <c r="K197" s="339"/>
      <c r="L197" s="340"/>
      <c r="M197" s="340"/>
      <c r="N197" s="340"/>
      <c r="O197" s="340"/>
      <c r="P197" s="340"/>
      <c r="Q197" s="340"/>
      <c r="R197" s="340"/>
      <c r="S197" s="348"/>
      <c r="T197" s="348"/>
      <c r="U197" s="348"/>
      <c r="V197" s="340"/>
      <c r="W197" s="340"/>
      <c r="X197" s="340"/>
      <c r="Y197" s="340"/>
    </row>
    <row r="198" spans="1:25" ht="15" thickBot="1" x14ac:dyDescent="0.3">
      <c r="A198" s="325"/>
      <c r="B198" s="325"/>
      <c r="C198" s="325"/>
      <c r="D198" s="325"/>
      <c r="E198" s="325"/>
      <c r="F198" s="325"/>
      <c r="G198" s="325"/>
      <c r="H198" s="325"/>
      <c r="I198" s="325"/>
      <c r="J198" s="325"/>
      <c r="K198" s="339"/>
      <c r="L198" s="340"/>
      <c r="M198" s="340"/>
      <c r="N198" s="340"/>
      <c r="O198" s="340"/>
      <c r="P198" s="340"/>
      <c r="Q198" s="340"/>
      <c r="R198" s="340"/>
      <c r="S198" s="348"/>
      <c r="T198" s="348"/>
      <c r="U198" s="348"/>
      <c r="V198" s="340"/>
      <c r="W198" s="340"/>
      <c r="X198" s="340"/>
      <c r="Y198" s="340"/>
    </row>
    <row r="199" spans="1:25" ht="15" thickBot="1" x14ac:dyDescent="0.3">
      <c r="A199" s="325"/>
      <c r="B199" s="325"/>
      <c r="C199" s="325"/>
      <c r="D199" s="325"/>
      <c r="E199" s="325"/>
      <c r="F199" s="325"/>
      <c r="G199" s="325"/>
      <c r="H199" s="325"/>
      <c r="I199" s="325"/>
      <c r="J199" s="325"/>
      <c r="K199" s="339"/>
      <c r="L199" s="340"/>
      <c r="M199" s="340"/>
      <c r="N199" s="340"/>
      <c r="O199" s="340"/>
      <c r="P199" s="340"/>
      <c r="Q199" s="340"/>
      <c r="R199" s="340"/>
      <c r="S199" s="348"/>
      <c r="T199" s="348"/>
      <c r="U199" s="348"/>
      <c r="V199" s="340"/>
      <c r="W199" s="340"/>
      <c r="X199" s="340"/>
      <c r="Y199" s="340"/>
    </row>
    <row r="200" spans="1:25" ht="15" thickBot="1" x14ac:dyDescent="0.3">
      <c r="A200" s="325"/>
      <c r="B200" s="325"/>
      <c r="C200" s="325"/>
      <c r="D200" s="325"/>
      <c r="E200" s="325"/>
      <c r="F200" s="325"/>
      <c r="G200" s="325"/>
      <c r="H200" s="325"/>
      <c r="I200" s="325"/>
      <c r="J200" s="325"/>
      <c r="K200" s="339"/>
      <c r="L200" s="340"/>
      <c r="M200" s="340"/>
      <c r="N200" s="340"/>
      <c r="O200" s="340"/>
      <c r="P200" s="340"/>
      <c r="Q200" s="340"/>
      <c r="R200" s="340"/>
      <c r="S200" s="348"/>
      <c r="T200" s="348"/>
      <c r="U200" s="348"/>
      <c r="V200" s="340"/>
      <c r="W200" s="340"/>
      <c r="X200" s="340"/>
      <c r="Y200" s="340"/>
    </row>
    <row r="201" spans="1:25" ht="15" thickBot="1" x14ac:dyDescent="0.3">
      <c r="A201" s="325"/>
      <c r="B201" s="325"/>
      <c r="C201" s="325"/>
      <c r="D201" s="325"/>
      <c r="E201" s="325"/>
      <c r="F201" s="325"/>
      <c r="G201" s="325"/>
      <c r="H201" s="325"/>
      <c r="I201" s="325"/>
      <c r="J201" s="325"/>
      <c r="K201" s="339"/>
      <c r="L201" s="340"/>
      <c r="M201" s="340"/>
      <c r="N201" s="340"/>
      <c r="O201" s="340"/>
      <c r="P201" s="340"/>
      <c r="Q201" s="340"/>
      <c r="R201" s="340"/>
      <c r="S201" s="348"/>
      <c r="T201" s="348"/>
      <c r="U201" s="348"/>
      <c r="V201" s="340"/>
      <c r="W201" s="340"/>
      <c r="X201" s="340"/>
      <c r="Y201" s="340"/>
    </row>
    <row r="202" spans="1:25" ht="15" thickBot="1" x14ac:dyDescent="0.3">
      <c r="A202" s="325"/>
      <c r="B202" s="325"/>
      <c r="C202" s="325"/>
      <c r="D202" s="325"/>
      <c r="E202" s="325"/>
      <c r="F202" s="325"/>
      <c r="G202" s="325"/>
      <c r="H202" s="325"/>
      <c r="I202" s="325"/>
      <c r="J202" s="325"/>
      <c r="K202" s="339"/>
      <c r="L202" s="340"/>
      <c r="M202" s="340"/>
      <c r="N202" s="340"/>
      <c r="O202" s="340"/>
      <c r="P202" s="340"/>
      <c r="Q202" s="340"/>
      <c r="R202" s="340"/>
      <c r="S202" s="348"/>
      <c r="T202" s="348"/>
      <c r="U202" s="348"/>
      <c r="V202" s="340"/>
      <c r="W202" s="340"/>
      <c r="X202" s="340"/>
      <c r="Y202" s="340"/>
    </row>
    <row r="203" spans="1:25" ht="15" thickBot="1" x14ac:dyDescent="0.3">
      <c r="A203" s="325"/>
      <c r="B203" s="325"/>
      <c r="C203" s="325"/>
      <c r="D203" s="325"/>
      <c r="E203" s="325"/>
      <c r="F203" s="325"/>
      <c r="G203" s="325"/>
      <c r="H203" s="325"/>
      <c r="I203" s="325"/>
      <c r="J203" s="325"/>
      <c r="K203" s="339"/>
      <c r="L203" s="340"/>
      <c r="M203" s="340"/>
      <c r="N203" s="340"/>
      <c r="O203" s="340"/>
      <c r="P203" s="340"/>
      <c r="Q203" s="340"/>
      <c r="R203" s="340"/>
      <c r="S203" s="348"/>
      <c r="T203" s="348"/>
      <c r="U203" s="348"/>
      <c r="V203" s="340"/>
      <c r="W203" s="340"/>
      <c r="X203" s="340"/>
      <c r="Y203" s="340"/>
    </row>
    <row r="204" spans="1:25" ht="15" thickBot="1" x14ac:dyDescent="0.3">
      <c r="A204" s="325"/>
      <c r="B204" s="325"/>
      <c r="C204" s="325"/>
      <c r="D204" s="325"/>
      <c r="E204" s="325"/>
      <c r="F204" s="325"/>
      <c r="G204" s="325"/>
      <c r="H204" s="325"/>
      <c r="I204" s="325"/>
      <c r="J204" s="325"/>
      <c r="K204" s="339"/>
      <c r="L204" s="340"/>
      <c r="M204" s="340"/>
      <c r="N204" s="340"/>
      <c r="O204" s="340"/>
      <c r="P204" s="340"/>
      <c r="Q204" s="340"/>
      <c r="R204" s="340"/>
      <c r="S204" s="348"/>
      <c r="T204" s="348"/>
      <c r="U204" s="348"/>
      <c r="V204" s="340"/>
      <c r="W204" s="340"/>
      <c r="X204" s="340"/>
      <c r="Y204" s="340"/>
    </row>
    <row r="205" spans="1:25" ht="15" thickBot="1" x14ac:dyDescent="0.3">
      <c r="A205" s="325"/>
      <c r="B205" s="325"/>
      <c r="C205" s="325"/>
      <c r="D205" s="325"/>
      <c r="E205" s="325"/>
      <c r="F205" s="325"/>
      <c r="G205" s="325"/>
      <c r="H205" s="325"/>
      <c r="I205" s="325"/>
      <c r="J205" s="325"/>
      <c r="K205" s="339"/>
      <c r="L205" s="340"/>
      <c r="M205" s="340"/>
      <c r="N205" s="340"/>
      <c r="O205" s="340"/>
      <c r="P205" s="340"/>
      <c r="Q205" s="340"/>
      <c r="R205" s="340"/>
      <c r="S205" s="348"/>
      <c r="T205" s="348"/>
      <c r="U205" s="348"/>
      <c r="V205" s="340"/>
      <c r="W205" s="340"/>
      <c r="X205" s="340"/>
      <c r="Y205" s="340"/>
    </row>
    <row r="206" spans="1:25" ht="15" thickBot="1" x14ac:dyDescent="0.3">
      <c r="A206" s="325"/>
      <c r="B206" s="325"/>
      <c r="C206" s="325"/>
      <c r="D206" s="325"/>
      <c r="E206" s="325"/>
      <c r="F206" s="325"/>
      <c r="G206" s="325"/>
      <c r="H206" s="325"/>
      <c r="I206" s="325"/>
      <c r="J206" s="325"/>
      <c r="K206" s="339"/>
      <c r="L206" s="340"/>
      <c r="M206" s="340"/>
      <c r="N206" s="340"/>
      <c r="O206" s="340"/>
      <c r="P206" s="340"/>
      <c r="Q206" s="340"/>
      <c r="R206" s="340"/>
      <c r="S206" s="348"/>
      <c r="T206" s="348"/>
      <c r="U206" s="348"/>
      <c r="V206" s="340"/>
      <c r="W206" s="340"/>
      <c r="X206" s="340"/>
      <c r="Y206" s="340"/>
    </row>
    <row r="207" spans="1:25" ht="15" thickBot="1" x14ac:dyDescent="0.3">
      <c r="A207" s="325"/>
      <c r="B207" s="325"/>
      <c r="C207" s="325"/>
      <c r="D207" s="325"/>
      <c r="E207" s="325"/>
      <c r="F207" s="325"/>
      <c r="G207" s="325"/>
      <c r="H207" s="325"/>
      <c r="I207" s="325"/>
      <c r="J207" s="325"/>
      <c r="K207" s="339"/>
      <c r="L207" s="340"/>
      <c r="M207" s="340"/>
      <c r="N207" s="340"/>
      <c r="O207" s="340"/>
      <c r="P207" s="340"/>
      <c r="Q207" s="340"/>
      <c r="R207" s="340"/>
      <c r="S207" s="348"/>
      <c r="T207" s="348"/>
      <c r="U207" s="348"/>
      <c r="V207" s="340"/>
      <c r="W207" s="340"/>
      <c r="X207" s="340"/>
      <c r="Y207" s="340"/>
    </row>
    <row r="208" spans="1:25" ht="15" thickBot="1" x14ac:dyDescent="0.3">
      <c r="A208" s="325"/>
      <c r="B208" s="325"/>
      <c r="C208" s="325"/>
      <c r="D208" s="325"/>
      <c r="E208" s="325"/>
      <c r="F208" s="325"/>
      <c r="G208" s="325"/>
      <c r="H208" s="325"/>
      <c r="I208" s="325"/>
      <c r="J208" s="325"/>
      <c r="K208" s="339"/>
      <c r="L208" s="340"/>
      <c r="M208" s="340"/>
      <c r="N208" s="340"/>
      <c r="O208" s="340"/>
      <c r="P208" s="340"/>
      <c r="Q208" s="340"/>
      <c r="R208" s="340"/>
      <c r="S208" s="348"/>
      <c r="T208" s="348"/>
      <c r="U208" s="348"/>
      <c r="V208" s="340"/>
      <c r="W208" s="340"/>
      <c r="X208" s="340"/>
      <c r="Y208" s="340"/>
    </row>
    <row r="209" spans="1:25" ht="15" thickBot="1" x14ac:dyDescent="0.3">
      <c r="A209" s="325"/>
      <c r="B209" s="325"/>
      <c r="C209" s="325"/>
      <c r="D209" s="325"/>
      <c r="E209" s="325"/>
      <c r="F209" s="325"/>
      <c r="G209" s="325"/>
      <c r="H209" s="325"/>
      <c r="I209" s="325"/>
      <c r="J209" s="325"/>
      <c r="K209" s="339"/>
      <c r="L209" s="340"/>
      <c r="M209" s="340"/>
      <c r="N209" s="340"/>
      <c r="O209" s="340"/>
      <c r="P209" s="340"/>
      <c r="Q209" s="340"/>
      <c r="R209" s="340"/>
      <c r="S209" s="348"/>
      <c r="T209" s="348"/>
      <c r="U209" s="348"/>
      <c r="V209" s="340"/>
      <c r="W209" s="340"/>
      <c r="X209" s="340"/>
      <c r="Y209" s="340"/>
    </row>
    <row r="210" spans="1:25" ht="15" thickBot="1" x14ac:dyDescent="0.3">
      <c r="A210" s="325"/>
      <c r="B210" s="325"/>
      <c r="C210" s="325"/>
      <c r="D210" s="325"/>
      <c r="E210" s="325"/>
      <c r="F210" s="325"/>
      <c r="G210" s="325"/>
      <c r="H210" s="325"/>
      <c r="I210" s="325"/>
      <c r="J210" s="325"/>
      <c r="K210" s="339"/>
      <c r="L210" s="340"/>
      <c r="M210" s="340"/>
      <c r="N210" s="340"/>
      <c r="O210" s="340"/>
      <c r="P210" s="340"/>
      <c r="Q210" s="340"/>
      <c r="R210" s="340"/>
      <c r="S210" s="348"/>
      <c r="T210" s="348"/>
      <c r="U210" s="348"/>
      <c r="V210" s="340"/>
      <c r="W210" s="340"/>
      <c r="X210" s="340"/>
      <c r="Y210" s="340"/>
    </row>
    <row r="211" spans="1:25" ht="15" thickBot="1" x14ac:dyDescent="0.3">
      <c r="A211" s="325"/>
      <c r="B211" s="325"/>
      <c r="C211" s="325"/>
      <c r="D211" s="325"/>
      <c r="E211" s="325"/>
      <c r="F211" s="325"/>
      <c r="G211" s="325"/>
      <c r="H211" s="325"/>
      <c r="I211" s="325"/>
      <c r="J211" s="325"/>
      <c r="K211" s="339"/>
      <c r="L211" s="340"/>
      <c r="M211" s="340"/>
      <c r="N211" s="340"/>
      <c r="O211" s="340"/>
      <c r="P211" s="340"/>
      <c r="Q211" s="340"/>
      <c r="R211" s="340"/>
      <c r="S211" s="348"/>
      <c r="T211" s="348"/>
      <c r="U211" s="348"/>
      <c r="V211" s="340"/>
      <c r="W211" s="340"/>
      <c r="X211" s="340"/>
      <c r="Y211" s="340"/>
    </row>
    <row r="212" spans="1:25" ht="15" thickBot="1" x14ac:dyDescent="0.3">
      <c r="A212" s="325"/>
      <c r="B212" s="325"/>
      <c r="C212" s="325"/>
      <c r="D212" s="325"/>
      <c r="E212" s="325"/>
      <c r="F212" s="325"/>
      <c r="G212" s="325"/>
      <c r="H212" s="325"/>
      <c r="I212" s="325"/>
      <c r="J212" s="325"/>
      <c r="K212" s="339"/>
      <c r="L212" s="340"/>
      <c r="M212" s="340"/>
      <c r="N212" s="340"/>
      <c r="O212" s="340"/>
      <c r="P212" s="340"/>
      <c r="Q212" s="340"/>
      <c r="R212" s="340"/>
      <c r="S212" s="348"/>
      <c r="T212" s="348"/>
      <c r="U212" s="348"/>
      <c r="V212" s="340"/>
      <c r="W212" s="340"/>
      <c r="X212" s="340"/>
      <c r="Y212" s="340"/>
    </row>
    <row r="213" spans="1:25" ht="15" thickBot="1" x14ac:dyDescent="0.3">
      <c r="A213" s="325"/>
      <c r="B213" s="325"/>
      <c r="C213" s="325"/>
      <c r="D213" s="325"/>
      <c r="E213" s="325"/>
      <c r="F213" s="325"/>
      <c r="G213" s="325"/>
      <c r="H213" s="325"/>
      <c r="I213" s="325"/>
      <c r="J213" s="325"/>
      <c r="K213" s="339"/>
      <c r="L213" s="340"/>
      <c r="M213" s="340"/>
      <c r="N213" s="340"/>
      <c r="O213" s="340"/>
      <c r="P213" s="340"/>
      <c r="Q213" s="340"/>
      <c r="R213" s="340"/>
      <c r="S213" s="348"/>
      <c r="T213" s="348"/>
      <c r="U213" s="348"/>
      <c r="V213" s="340"/>
      <c r="W213" s="340"/>
      <c r="X213" s="340"/>
      <c r="Y213" s="340"/>
    </row>
    <row r="214" spans="1:25" ht="15" thickBot="1" x14ac:dyDescent="0.3">
      <c r="A214" s="325"/>
      <c r="B214" s="325"/>
      <c r="C214" s="325"/>
      <c r="D214" s="325"/>
      <c r="E214" s="325"/>
      <c r="F214" s="325"/>
      <c r="G214" s="325"/>
      <c r="H214" s="325"/>
      <c r="I214" s="325"/>
      <c r="J214" s="325"/>
      <c r="K214" s="339"/>
      <c r="L214" s="340"/>
      <c r="M214" s="340"/>
      <c r="N214" s="340"/>
      <c r="O214" s="340"/>
      <c r="P214" s="340"/>
      <c r="Q214" s="340"/>
      <c r="R214" s="340"/>
      <c r="S214" s="348"/>
      <c r="T214" s="348"/>
      <c r="U214" s="348"/>
      <c r="V214" s="340"/>
      <c r="W214" s="340"/>
      <c r="X214" s="340"/>
      <c r="Y214" s="340"/>
    </row>
    <row r="215" spans="1:25" ht="15" thickBot="1" x14ac:dyDescent="0.3">
      <c r="A215" s="325"/>
      <c r="B215" s="325"/>
      <c r="C215" s="325"/>
      <c r="D215" s="325"/>
      <c r="E215" s="325"/>
      <c r="F215" s="325"/>
      <c r="G215" s="325"/>
      <c r="H215" s="325"/>
      <c r="I215" s="325"/>
      <c r="J215" s="325"/>
      <c r="K215" s="339"/>
      <c r="L215" s="340"/>
      <c r="M215" s="340"/>
      <c r="N215" s="340"/>
      <c r="O215" s="340"/>
      <c r="P215" s="340"/>
      <c r="Q215" s="340"/>
      <c r="R215" s="340"/>
      <c r="S215" s="348"/>
      <c r="T215" s="348"/>
      <c r="U215" s="348"/>
      <c r="V215" s="340"/>
      <c r="W215" s="340"/>
      <c r="X215" s="340"/>
      <c r="Y215" s="340"/>
    </row>
    <row r="216" spans="1:25" ht="15" thickBot="1" x14ac:dyDescent="0.3">
      <c r="A216" s="325"/>
      <c r="B216" s="325"/>
      <c r="C216" s="325"/>
      <c r="D216" s="325"/>
      <c r="E216" s="325"/>
      <c r="F216" s="325"/>
      <c r="G216" s="325"/>
      <c r="H216" s="325"/>
      <c r="I216" s="325"/>
      <c r="J216" s="325"/>
      <c r="K216" s="339"/>
      <c r="L216" s="340"/>
      <c r="M216" s="340"/>
      <c r="N216" s="340"/>
      <c r="O216" s="340"/>
      <c r="P216" s="340"/>
      <c r="Q216" s="340"/>
      <c r="R216" s="340"/>
      <c r="S216" s="348"/>
      <c r="T216" s="348"/>
      <c r="U216" s="348"/>
      <c r="V216" s="340"/>
      <c r="W216" s="340"/>
      <c r="X216" s="340"/>
      <c r="Y216" s="340"/>
    </row>
    <row r="217" spans="1:25" ht="15" thickBot="1" x14ac:dyDescent="0.3">
      <c r="A217" s="325"/>
      <c r="B217" s="325"/>
      <c r="C217" s="325"/>
      <c r="D217" s="325"/>
      <c r="E217" s="325"/>
      <c r="F217" s="325"/>
      <c r="G217" s="325"/>
      <c r="H217" s="325"/>
      <c r="I217" s="325"/>
      <c r="J217" s="325"/>
      <c r="K217" s="339"/>
      <c r="L217" s="340"/>
      <c r="M217" s="340"/>
      <c r="N217" s="340"/>
      <c r="O217" s="340"/>
      <c r="P217" s="340"/>
      <c r="Q217" s="340"/>
      <c r="R217" s="340"/>
      <c r="S217" s="348"/>
      <c r="T217" s="348"/>
      <c r="U217" s="348"/>
      <c r="V217" s="340"/>
      <c r="W217" s="340"/>
      <c r="X217" s="340"/>
      <c r="Y217" s="340"/>
    </row>
    <row r="218" spans="1:25" ht="15" thickBot="1" x14ac:dyDescent="0.3">
      <c r="A218" s="325"/>
      <c r="B218" s="325"/>
      <c r="C218" s="325"/>
      <c r="D218" s="325"/>
      <c r="E218" s="325"/>
      <c r="F218" s="325"/>
      <c r="G218" s="325"/>
      <c r="H218" s="325"/>
      <c r="I218" s="325"/>
      <c r="J218" s="325"/>
      <c r="K218" s="339"/>
      <c r="L218" s="340"/>
      <c r="M218" s="340"/>
      <c r="N218" s="340"/>
      <c r="O218" s="340"/>
      <c r="P218" s="340"/>
      <c r="Q218" s="340"/>
      <c r="R218" s="340"/>
      <c r="S218" s="348"/>
      <c r="T218" s="348"/>
      <c r="U218" s="348"/>
      <c r="V218" s="340"/>
      <c r="W218" s="340"/>
      <c r="X218" s="340"/>
      <c r="Y218" s="340"/>
    </row>
    <row r="219" spans="1:25" ht="15" thickBot="1" x14ac:dyDescent="0.3">
      <c r="A219" s="325"/>
      <c r="B219" s="325"/>
      <c r="C219" s="325"/>
      <c r="D219" s="325"/>
      <c r="E219" s="325"/>
      <c r="F219" s="325"/>
      <c r="G219" s="325"/>
      <c r="H219" s="325"/>
      <c r="I219" s="325"/>
      <c r="J219" s="325"/>
      <c r="K219" s="339"/>
      <c r="L219" s="340"/>
      <c r="M219" s="340"/>
      <c r="N219" s="340"/>
      <c r="O219" s="340"/>
      <c r="P219" s="340"/>
      <c r="Q219" s="340"/>
      <c r="R219" s="340"/>
      <c r="S219" s="348"/>
      <c r="T219" s="348"/>
      <c r="U219" s="348"/>
      <c r="V219" s="340"/>
      <c r="W219" s="340"/>
      <c r="X219" s="340"/>
      <c r="Y219" s="340"/>
    </row>
    <row r="220" spans="1:25" ht="15" thickBot="1" x14ac:dyDescent="0.3">
      <c r="A220" s="325"/>
      <c r="B220" s="325"/>
      <c r="C220" s="325"/>
      <c r="D220" s="325"/>
      <c r="E220" s="325"/>
      <c r="F220" s="325"/>
      <c r="G220" s="325"/>
      <c r="H220" s="325"/>
      <c r="I220" s="325"/>
      <c r="J220" s="325"/>
      <c r="K220" s="339"/>
      <c r="L220" s="340"/>
      <c r="M220" s="340"/>
      <c r="N220" s="340"/>
      <c r="O220" s="340"/>
      <c r="P220" s="340"/>
      <c r="Q220" s="340"/>
      <c r="R220" s="340"/>
      <c r="S220" s="348"/>
      <c r="T220" s="348"/>
      <c r="U220" s="348"/>
      <c r="V220" s="340"/>
      <c r="W220" s="340"/>
      <c r="X220" s="340"/>
      <c r="Y220" s="340"/>
    </row>
    <row r="221" spans="1:25" ht="15" thickBot="1" x14ac:dyDescent="0.3">
      <c r="A221" s="325"/>
      <c r="B221" s="325"/>
      <c r="C221" s="325"/>
      <c r="D221" s="325"/>
      <c r="E221" s="325"/>
      <c r="F221" s="325"/>
      <c r="G221" s="325"/>
      <c r="H221" s="325"/>
      <c r="I221" s="325"/>
      <c r="J221" s="325"/>
      <c r="K221" s="339"/>
      <c r="L221" s="340"/>
      <c r="M221" s="340"/>
      <c r="N221" s="340"/>
      <c r="O221" s="340"/>
      <c r="P221" s="340"/>
      <c r="Q221" s="340"/>
      <c r="R221" s="340"/>
      <c r="S221" s="348"/>
      <c r="T221" s="348"/>
      <c r="U221" s="348"/>
      <c r="V221" s="340"/>
      <c r="W221" s="340"/>
      <c r="X221" s="340"/>
      <c r="Y221" s="340"/>
    </row>
    <row r="222" spans="1:25" ht="15" thickBot="1" x14ac:dyDescent="0.3">
      <c r="A222" s="325"/>
      <c r="B222" s="325"/>
      <c r="C222" s="325"/>
      <c r="D222" s="325"/>
      <c r="E222" s="325"/>
      <c r="F222" s="325"/>
      <c r="G222" s="325"/>
      <c r="H222" s="325"/>
      <c r="I222" s="325"/>
      <c r="J222" s="325"/>
      <c r="K222" s="339"/>
      <c r="L222" s="340"/>
      <c r="M222" s="340"/>
      <c r="N222" s="340"/>
      <c r="O222" s="340"/>
      <c r="P222" s="340"/>
      <c r="Q222" s="340"/>
      <c r="R222" s="340"/>
      <c r="S222" s="348"/>
      <c r="T222" s="348"/>
      <c r="U222" s="348"/>
      <c r="V222" s="340"/>
      <c r="W222" s="340"/>
      <c r="X222" s="340"/>
      <c r="Y222" s="340"/>
    </row>
    <row r="223" spans="1:25" ht="15" thickBot="1" x14ac:dyDescent="0.3">
      <c r="A223" s="325"/>
      <c r="B223" s="325"/>
      <c r="C223" s="325"/>
      <c r="D223" s="325"/>
      <c r="E223" s="325"/>
      <c r="F223" s="325"/>
      <c r="G223" s="325"/>
      <c r="H223" s="325"/>
      <c r="I223" s="325"/>
      <c r="J223" s="325"/>
      <c r="K223" s="339"/>
      <c r="L223" s="340"/>
      <c r="M223" s="340"/>
      <c r="N223" s="340"/>
      <c r="O223" s="340"/>
      <c r="P223" s="340"/>
      <c r="Q223" s="340"/>
      <c r="R223" s="340"/>
      <c r="S223" s="348"/>
      <c r="T223" s="348"/>
      <c r="U223" s="348"/>
      <c r="V223" s="340"/>
      <c r="W223" s="340"/>
      <c r="X223" s="340"/>
      <c r="Y223" s="340"/>
    </row>
    <row r="224" spans="1:25" ht="15" thickBot="1" x14ac:dyDescent="0.3">
      <c r="A224" s="325"/>
      <c r="B224" s="325"/>
      <c r="C224" s="325"/>
      <c r="D224" s="325"/>
      <c r="E224" s="325"/>
      <c r="F224" s="325"/>
      <c r="G224" s="325"/>
      <c r="H224" s="325"/>
      <c r="I224" s="325"/>
      <c r="J224" s="325"/>
      <c r="K224" s="339"/>
      <c r="L224" s="340"/>
      <c r="M224" s="340"/>
      <c r="N224" s="340"/>
      <c r="O224" s="340"/>
      <c r="P224" s="340"/>
      <c r="Q224" s="340"/>
      <c r="R224" s="340"/>
      <c r="S224" s="348"/>
      <c r="T224" s="348"/>
      <c r="U224" s="348"/>
      <c r="V224" s="340"/>
      <c r="W224" s="340"/>
      <c r="X224" s="340"/>
      <c r="Y224" s="340"/>
    </row>
    <row r="225" spans="1:25" ht="15" thickBot="1" x14ac:dyDescent="0.3">
      <c r="A225" s="325"/>
      <c r="B225" s="325"/>
      <c r="C225" s="325"/>
      <c r="D225" s="325"/>
      <c r="E225" s="325"/>
      <c r="F225" s="325"/>
      <c r="G225" s="325"/>
      <c r="H225" s="325"/>
      <c r="I225" s="325"/>
      <c r="J225" s="325"/>
      <c r="K225" s="339"/>
      <c r="L225" s="340"/>
      <c r="M225" s="340"/>
      <c r="N225" s="340"/>
      <c r="O225" s="340"/>
      <c r="P225" s="340"/>
      <c r="Q225" s="340"/>
      <c r="R225" s="340"/>
      <c r="S225" s="348"/>
      <c r="T225" s="348"/>
      <c r="U225" s="348"/>
      <c r="V225" s="340"/>
      <c r="W225" s="340"/>
      <c r="X225" s="340"/>
      <c r="Y225" s="340"/>
    </row>
    <row r="226" spans="1:25" ht="15" thickBot="1" x14ac:dyDescent="0.3">
      <c r="A226" s="325"/>
      <c r="B226" s="325"/>
      <c r="C226" s="325"/>
      <c r="D226" s="325"/>
      <c r="E226" s="325"/>
      <c r="F226" s="325"/>
      <c r="G226" s="325"/>
      <c r="H226" s="325"/>
      <c r="I226" s="325"/>
      <c r="J226" s="325"/>
      <c r="K226" s="339"/>
      <c r="L226" s="340"/>
      <c r="M226" s="340"/>
      <c r="N226" s="340"/>
      <c r="O226" s="340"/>
      <c r="P226" s="340"/>
      <c r="Q226" s="340"/>
      <c r="R226" s="340"/>
      <c r="S226" s="348"/>
      <c r="T226" s="348"/>
      <c r="U226" s="348"/>
      <c r="V226" s="340"/>
      <c r="W226" s="340"/>
      <c r="X226" s="340"/>
      <c r="Y226" s="340"/>
    </row>
    <row r="227" spans="1:25" ht="15" thickBot="1" x14ac:dyDescent="0.3">
      <c r="A227" s="325"/>
      <c r="B227" s="325"/>
      <c r="C227" s="325"/>
      <c r="D227" s="325"/>
      <c r="E227" s="325"/>
      <c r="F227" s="325"/>
      <c r="G227" s="325"/>
      <c r="H227" s="325"/>
      <c r="I227" s="325"/>
      <c r="J227" s="325"/>
      <c r="K227" s="339"/>
      <c r="L227" s="340"/>
      <c r="M227" s="340"/>
      <c r="N227" s="340"/>
      <c r="O227" s="340"/>
      <c r="P227" s="340"/>
      <c r="Q227" s="340"/>
      <c r="R227" s="340"/>
      <c r="S227" s="348"/>
      <c r="T227" s="348"/>
      <c r="U227" s="348"/>
      <c r="V227" s="340"/>
      <c r="W227" s="340"/>
      <c r="X227" s="340"/>
      <c r="Y227" s="340"/>
    </row>
    <row r="228" spans="1:25" ht="15" thickBot="1" x14ac:dyDescent="0.3">
      <c r="A228" s="325"/>
      <c r="B228" s="325"/>
      <c r="C228" s="325"/>
      <c r="D228" s="325"/>
      <c r="E228" s="325"/>
      <c r="F228" s="325"/>
      <c r="G228" s="325"/>
      <c r="H228" s="325"/>
      <c r="I228" s="325"/>
      <c r="J228" s="325"/>
      <c r="K228" s="339"/>
      <c r="L228" s="340"/>
      <c r="M228" s="340"/>
      <c r="N228" s="340"/>
      <c r="O228" s="340"/>
      <c r="P228" s="340"/>
      <c r="Q228" s="340"/>
      <c r="R228" s="340"/>
      <c r="S228" s="348"/>
      <c r="T228" s="348"/>
      <c r="U228" s="348"/>
      <c r="V228" s="340"/>
      <c r="W228" s="340"/>
      <c r="X228" s="340"/>
      <c r="Y228" s="340"/>
    </row>
    <row r="229" spans="1:25" ht="15" thickBot="1" x14ac:dyDescent="0.3">
      <c r="A229" s="325"/>
      <c r="B229" s="325"/>
      <c r="C229" s="325"/>
      <c r="D229" s="325"/>
      <c r="E229" s="325"/>
      <c r="F229" s="325"/>
      <c r="G229" s="325"/>
      <c r="H229" s="325"/>
      <c r="I229" s="325"/>
      <c r="J229" s="325"/>
      <c r="K229" s="339"/>
      <c r="L229" s="340"/>
      <c r="M229" s="340"/>
      <c r="N229" s="340"/>
      <c r="O229" s="340"/>
      <c r="P229" s="340"/>
      <c r="Q229" s="340"/>
      <c r="R229" s="340"/>
      <c r="S229" s="348"/>
      <c r="T229" s="348"/>
      <c r="U229" s="348"/>
      <c r="V229" s="340"/>
      <c r="W229" s="340"/>
      <c r="X229" s="340"/>
      <c r="Y229" s="340"/>
    </row>
    <row r="230" spans="1:25" ht="15" thickBot="1" x14ac:dyDescent="0.3">
      <c r="A230" s="325"/>
      <c r="B230" s="325"/>
      <c r="C230" s="325"/>
      <c r="D230" s="325"/>
      <c r="E230" s="325"/>
      <c r="F230" s="325"/>
      <c r="G230" s="325"/>
      <c r="H230" s="325"/>
      <c r="I230" s="325"/>
      <c r="J230" s="325"/>
      <c r="K230" s="339"/>
      <c r="L230" s="340"/>
      <c r="M230" s="340"/>
      <c r="N230" s="340"/>
      <c r="O230" s="340"/>
      <c r="P230" s="340"/>
      <c r="Q230" s="340"/>
      <c r="R230" s="340"/>
      <c r="S230" s="348"/>
      <c r="T230" s="348"/>
      <c r="U230" s="348"/>
      <c r="V230" s="340"/>
      <c r="W230" s="340"/>
      <c r="X230" s="340"/>
      <c r="Y230" s="340"/>
    </row>
    <row r="231" spans="1:25" ht="15" thickBot="1" x14ac:dyDescent="0.3">
      <c r="A231" s="325"/>
      <c r="B231" s="325"/>
      <c r="C231" s="325"/>
      <c r="D231" s="325"/>
      <c r="E231" s="325"/>
      <c r="F231" s="325"/>
      <c r="G231" s="325"/>
      <c r="H231" s="325"/>
      <c r="I231" s="325"/>
      <c r="J231" s="325"/>
      <c r="K231" s="339"/>
      <c r="L231" s="340"/>
      <c r="M231" s="340"/>
      <c r="N231" s="340"/>
      <c r="O231" s="340"/>
      <c r="P231" s="340"/>
      <c r="Q231" s="340"/>
      <c r="R231" s="340"/>
      <c r="S231" s="348"/>
      <c r="T231" s="348"/>
      <c r="U231" s="348"/>
      <c r="V231" s="340"/>
      <c r="W231" s="340"/>
      <c r="X231" s="340"/>
      <c r="Y231" s="340"/>
    </row>
    <row r="232" spans="1:25" ht="15" thickBot="1" x14ac:dyDescent="0.3">
      <c r="A232" s="325"/>
      <c r="B232" s="325"/>
      <c r="C232" s="325"/>
      <c r="D232" s="325"/>
      <c r="E232" s="325"/>
      <c r="F232" s="325"/>
      <c r="G232" s="325"/>
      <c r="H232" s="325"/>
      <c r="I232" s="325"/>
      <c r="J232" s="325"/>
      <c r="K232" s="339"/>
      <c r="L232" s="340"/>
      <c r="M232" s="340"/>
      <c r="N232" s="340"/>
      <c r="O232" s="340"/>
      <c r="P232" s="340"/>
      <c r="Q232" s="340"/>
      <c r="R232" s="340"/>
      <c r="S232" s="348"/>
      <c r="T232" s="348"/>
      <c r="U232" s="348"/>
      <c r="V232" s="340"/>
      <c r="W232" s="340"/>
      <c r="X232" s="340"/>
      <c r="Y232" s="340"/>
    </row>
    <row r="233" spans="1:25" ht="15" thickBot="1" x14ac:dyDescent="0.3">
      <c r="A233" s="325"/>
      <c r="B233" s="325"/>
      <c r="C233" s="325"/>
      <c r="D233" s="325"/>
      <c r="E233" s="325"/>
      <c r="F233" s="325"/>
      <c r="G233" s="325"/>
      <c r="H233" s="325"/>
      <c r="I233" s="325"/>
      <c r="J233" s="325"/>
      <c r="K233" s="339"/>
      <c r="L233" s="340"/>
      <c r="M233" s="340"/>
      <c r="N233" s="340"/>
      <c r="O233" s="340"/>
      <c r="P233" s="340"/>
      <c r="Q233" s="340"/>
      <c r="R233" s="340"/>
      <c r="S233" s="348"/>
      <c r="T233" s="348"/>
      <c r="U233" s="348"/>
      <c r="V233" s="340"/>
      <c r="W233" s="340"/>
      <c r="X233" s="340"/>
      <c r="Y233" s="340"/>
    </row>
    <row r="234" spans="1:25" ht="15" thickBot="1" x14ac:dyDescent="0.3">
      <c r="A234" s="325"/>
      <c r="B234" s="325"/>
      <c r="C234" s="325"/>
      <c r="D234" s="325"/>
      <c r="E234" s="325"/>
      <c r="F234" s="325"/>
      <c r="G234" s="325"/>
      <c r="H234" s="325"/>
      <c r="I234" s="325"/>
      <c r="J234" s="325"/>
      <c r="K234" s="339"/>
      <c r="L234" s="340"/>
      <c r="M234" s="340"/>
      <c r="N234" s="340"/>
      <c r="O234" s="340"/>
      <c r="P234" s="340"/>
      <c r="Q234" s="340"/>
      <c r="R234" s="340"/>
      <c r="S234" s="348"/>
      <c r="T234" s="348"/>
      <c r="U234" s="348"/>
      <c r="V234" s="340"/>
      <c r="W234" s="340"/>
      <c r="X234" s="340"/>
      <c r="Y234" s="340"/>
    </row>
    <row r="235" spans="1:25" ht="15" thickBot="1" x14ac:dyDescent="0.3">
      <c r="A235" s="325"/>
      <c r="B235" s="325"/>
      <c r="C235" s="325"/>
      <c r="D235" s="325"/>
      <c r="E235" s="325"/>
      <c r="F235" s="325"/>
      <c r="G235" s="325"/>
      <c r="H235" s="325"/>
      <c r="I235" s="325"/>
      <c r="J235" s="325"/>
      <c r="K235" s="339"/>
      <c r="L235" s="340"/>
      <c r="M235" s="340"/>
      <c r="N235" s="340"/>
      <c r="O235" s="340"/>
      <c r="P235" s="340"/>
      <c r="Q235" s="340"/>
      <c r="R235" s="340"/>
      <c r="S235" s="348"/>
      <c r="T235" s="348"/>
      <c r="U235" s="348"/>
      <c r="V235" s="340"/>
      <c r="W235" s="340"/>
      <c r="X235" s="340"/>
      <c r="Y235" s="340"/>
    </row>
    <row r="236" spans="1:25" ht="15" thickBot="1" x14ac:dyDescent="0.3">
      <c r="A236" s="325"/>
      <c r="B236" s="325"/>
      <c r="C236" s="325"/>
      <c r="D236" s="325"/>
      <c r="E236" s="325"/>
      <c r="F236" s="325"/>
      <c r="G236" s="325"/>
      <c r="H236" s="325"/>
      <c r="I236" s="325"/>
      <c r="J236" s="325"/>
      <c r="K236" s="339"/>
      <c r="L236" s="340"/>
      <c r="M236" s="340"/>
      <c r="N236" s="340"/>
      <c r="O236" s="340"/>
      <c r="P236" s="340"/>
      <c r="Q236" s="340"/>
      <c r="R236" s="340"/>
      <c r="S236" s="348"/>
      <c r="T236" s="348"/>
      <c r="U236" s="348"/>
      <c r="V236" s="340"/>
      <c r="W236" s="340"/>
      <c r="X236" s="340"/>
      <c r="Y236" s="340"/>
    </row>
    <row r="237" spans="1:25" ht="15" thickBot="1" x14ac:dyDescent="0.3">
      <c r="A237" s="325"/>
      <c r="B237" s="325"/>
      <c r="C237" s="325"/>
      <c r="D237" s="325"/>
      <c r="E237" s="325"/>
      <c r="F237" s="325"/>
      <c r="G237" s="325"/>
      <c r="H237" s="325"/>
      <c r="I237" s="325"/>
      <c r="J237" s="325"/>
      <c r="K237" s="339"/>
      <c r="L237" s="340"/>
      <c r="M237" s="340"/>
      <c r="N237" s="340"/>
      <c r="O237" s="340"/>
      <c r="P237" s="340"/>
      <c r="Q237" s="340"/>
      <c r="R237" s="340"/>
      <c r="S237" s="348"/>
      <c r="T237" s="348"/>
      <c r="U237" s="348"/>
      <c r="V237" s="340"/>
      <c r="W237" s="340"/>
      <c r="X237" s="340"/>
      <c r="Y237" s="340"/>
    </row>
    <row r="238" spans="1:25" ht="15" thickBot="1" x14ac:dyDescent="0.3">
      <c r="A238" s="325"/>
      <c r="B238" s="325"/>
      <c r="C238" s="325"/>
      <c r="D238" s="325"/>
      <c r="E238" s="325"/>
      <c r="F238" s="325"/>
      <c r="G238" s="325"/>
      <c r="H238" s="325"/>
      <c r="I238" s="325"/>
      <c r="J238" s="325"/>
      <c r="K238" s="339"/>
      <c r="L238" s="340"/>
      <c r="M238" s="340"/>
      <c r="N238" s="340"/>
      <c r="O238" s="340"/>
      <c r="P238" s="340"/>
      <c r="Q238" s="340"/>
      <c r="R238" s="340"/>
      <c r="S238" s="348"/>
      <c r="T238" s="348"/>
      <c r="U238" s="348"/>
      <c r="V238" s="340"/>
      <c r="W238" s="340"/>
      <c r="X238" s="340"/>
      <c r="Y238" s="340"/>
    </row>
    <row r="239" spans="1:25" ht="15" thickBot="1" x14ac:dyDescent="0.3">
      <c r="A239" s="325"/>
      <c r="B239" s="325"/>
      <c r="C239" s="325"/>
      <c r="D239" s="325"/>
      <c r="E239" s="325"/>
      <c r="F239" s="325"/>
      <c r="G239" s="325"/>
      <c r="H239" s="325"/>
      <c r="I239" s="325"/>
      <c r="J239" s="325"/>
      <c r="K239" s="339"/>
      <c r="L239" s="340"/>
      <c r="M239" s="340"/>
      <c r="N239" s="340"/>
      <c r="O239" s="340"/>
      <c r="P239" s="340"/>
      <c r="Q239" s="340"/>
      <c r="R239" s="340"/>
      <c r="S239" s="348"/>
      <c r="T239" s="348"/>
      <c r="U239" s="348"/>
      <c r="V239" s="340"/>
      <c r="W239" s="340"/>
      <c r="X239" s="340"/>
      <c r="Y239" s="340"/>
    </row>
    <row r="240" spans="1:25" ht="15" thickBot="1" x14ac:dyDescent="0.3">
      <c r="A240" s="325"/>
      <c r="B240" s="325"/>
      <c r="C240" s="325"/>
      <c r="D240" s="325"/>
      <c r="E240" s="325"/>
      <c r="F240" s="325"/>
      <c r="G240" s="325"/>
      <c r="H240" s="325"/>
      <c r="I240" s="325"/>
      <c r="J240" s="325"/>
      <c r="K240" s="339"/>
      <c r="L240" s="340"/>
      <c r="M240" s="340"/>
      <c r="N240" s="340"/>
      <c r="O240" s="340"/>
      <c r="P240" s="340"/>
      <c r="Q240" s="340"/>
      <c r="R240" s="340"/>
      <c r="S240" s="348"/>
      <c r="T240" s="348"/>
      <c r="U240" s="348"/>
      <c r="V240" s="340"/>
      <c r="W240" s="340"/>
      <c r="X240" s="340"/>
      <c r="Y240" s="340"/>
    </row>
    <row r="241" spans="1:25" ht="15" thickBot="1" x14ac:dyDescent="0.3">
      <c r="A241" s="325"/>
      <c r="B241" s="325"/>
      <c r="C241" s="325"/>
      <c r="D241" s="325"/>
      <c r="E241" s="325"/>
      <c r="F241" s="325"/>
      <c r="G241" s="325"/>
      <c r="H241" s="325"/>
      <c r="I241" s="325"/>
      <c r="J241" s="325"/>
      <c r="K241" s="339"/>
      <c r="L241" s="340"/>
      <c r="M241" s="340"/>
      <c r="N241" s="340"/>
      <c r="O241" s="340"/>
      <c r="P241" s="340"/>
      <c r="Q241" s="340"/>
      <c r="R241" s="340"/>
      <c r="S241" s="348"/>
      <c r="T241" s="348"/>
      <c r="U241" s="348"/>
      <c r="V241" s="340"/>
      <c r="W241" s="340"/>
      <c r="X241" s="340"/>
      <c r="Y241" s="340"/>
    </row>
    <row r="242" spans="1:25" ht="15" thickBot="1" x14ac:dyDescent="0.3">
      <c r="A242" s="325"/>
      <c r="B242" s="325"/>
      <c r="C242" s="325"/>
      <c r="D242" s="325"/>
      <c r="E242" s="325"/>
      <c r="F242" s="325"/>
      <c r="G242" s="325"/>
      <c r="H242" s="325"/>
      <c r="I242" s="325"/>
      <c r="J242" s="325"/>
      <c r="K242" s="339"/>
      <c r="L242" s="340"/>
      <c r="M242" s="340"/>
      <c r="N242" s="340"/>
      <c r="O242" s="340"/>
      <c r="P242" s="340"/>
      <c r="Q242" s="340"/>
      <c r="R242" s="340"/>
      <c r="S242" s="348"/>
      <c r="T242" s="348"/>
      <c r="U242" s="348"/>
      <c r="V242" s="340"/>
      <c r="W242" s="340"/>
      <c r="X242" s="340"/>
      <c r="Y242" s="340"/>
    </row>
    <row r="243" spans="1:25" ht="15" thickBot="1" x14ac:dyDescent="0.3">
      <c r="A243" s="325"/>
      <c r="B243" s="325"/>
      <c r="C243" s="325"/>
      <c r="D243" s="325"/>
      <c r="E243" s="325"/>
      <c r="F243" s="325"/>
      <c r="G243" s="325"/>
      <c r="H243" s="325"/>
      <c r="I243" s="325"/>
      <c r="J243" s="325"/>
      <c r="K243" s="339"/>
      <c r="L243" s="340"/>
      <c r="M243" s="340"/>
      <c r="N243" s="340"/>
      <c r="O243" s="340"/>
      <c r="P243" s="340"/>
      <c r="Q243" s="340"/>
      <c r="R243" s="340"/>
      <c r="S243" s="348"/>
      <c r="T243" s="348"/>
      <c r="U243" s="348"/>
      <c r="V243" s="340"/>
      <c r="W243" s="340"/>
      <c r="X243" s="340"/>
      <c r="Y243" s="340"/>
    </row>
    <row r="244" spans="1:25" ht="15" thickBot="1" x14ac:dyDescent="0.3">
      <c r="A244" s="325"/>
      <c r="B244" s="325"/>
      <c r="C244" s="325"/>
      <c r="D244" s="325"/>
      <c r="E244" s="325"/>
      <c r="F244" s="325"/>
      <c r="G244" s="325"/>
      <c r="H244" s="325"/>
      <c r="I244" s="325"/>
      <c r="J244" s="325"/>
      <c r="K244" s="339"/>
      <c r="L244" s="340"/>
      <c r="M244" s="340"/>
      <c r="N244" s="340"/>
      <c r="O244" s="340"/>
      <c r="P244" s="340"/>
      <c r="Q244" s="340"/>
      <c r="R244" s="340"/>
      <c r="S244" s="348"/>
      <c r="T244" s="348"/>
      <c r="U244" s="348"/>
      <c r="V244" s="340"/>
      <c r="W244" s="340"/>
      <c r="X244" s="340"/>
      <c r="Y244" s="340"/>
    </row>
    <row r="245" spans="1:25" ht="15" thickBot="1" x14ac:dyDescent="0.3">
      <c r="A245" s="325"/>
      <c r="B245" s="325"/>
      <c r="C245" s="325"/>
      <c r="D245" s="325"/>
      <c r="E245" s="325"/>
      <c r="F245" s="325"/>
      <c r="G245" s="325"/>
      <c r="H245" s="325"/>
      <c r="I245" s="325"/>
      <c r="J245" s="325"/>
      <c r="K245" s="339"/>
      <c r="L245" s="340"/>
      <c r="M245" s="340"/>
      <c r="N245" s="340"/>
      <c r="O245" s="340"/>
      <c r="P245" s="340"/>
      <c r="Q245" s="340"/>
      <c r="R245" s="340"/>
      <c r="S245" s="348"/>
      <c r="T245" s="348"/>
      <c r="U245" s="348"/>
      <c r="V245" s="340"/>
      <c r="W245" s="340"/>
      <c r="X245" s="340"/>
      <c r="Y245" s="340"/>
    </row>
    <row r="246" spans="1:25" ht="15" thickBot="1" x14ac:dyDescent="0.3">
      <c r="A246" s="325"/>
      <c r="B246" s="325"/>
      <c r="C246" s="325"/>
      <c r="D246" s="325"/>
      <c r="E246" s="325"/>
      <c r="F246" s="325"/>
      <c r="G246" s="325"/>
      <c r="H246" s="325"/>
      <c r="I246" s="325"/>
      <c r="J246" s="325"/>
      <c r="K246" s="339"/>
      <c r="L246" s="340"/>
      <c r="M246" s="340"/>
      <c r="N246" s="340"/>
      <c r="O246" s="340"/>
      <c r="P246" s="340"/>
      <c r="Q246" s="340"/>
      <c r="R246" s="340"/>
      <c r="S246" s="348"/>
      <c r="T246" s="348"/>
      <c r="U246" s="348"/>
      <c r="V246" s="340"/>
      <c r="W246" s="340"/>
      <c r="X246" s="340"/>
      <c r="Y246" s="340"/>
    </row>
    <row r="247" spans="1:25" ht="15" thickBot="1" x14ac:dyDescent="0.3">
      <c r="A247" s="325"/>
      <c r="B247" s="325"/>
      <c r="C247" s="325"/>
      <c r="D247" s="325"/>
      <c r="E247" s="325"/>
      <c r="F247" s="325"/>
      <c r="G247" s="325"/>
      <c r="H247" s="325"/>
      <c r="I247" s="325"/>
      <c r="J247" s="325"/>
      <c r="K247" s="339"/>
      <c r="L247" s="340"/>
      <c r="M247" s="340"/>
      <c r="N247" s="340"/>
      <c r="O247" s="340"/>
      <c r="P247" s="340"/>
      <c r="Q247" s="340"/>
      <c r="R247" s="340"/>
      <c r="S247" s="348"/>
      <c r="T247" s="348"/>
      <c r="U247" s="348"/>
      <c r="V247" s="340"/>
      <c r="W247" s="340"/>
      <c r="X247" s="340"/>
      <c r="Y247" s="340"/>
    </row>
    <row r="248" spans="1:25" ht="15" thickBot="1" x14ac:dyDescent="0.3">
      <c r="A248" s="325"/>
      <c r="B248" s="325"/>
      <c r="C248" s="325"/>
      <c r="D248" s="325"/>
      <c r="E248" s="325"/>
      <c r="F248" s="325"/>
      <c r="G248" s="325"/>
      <c r="H248" s="325"/>
      <c r="I248" s="325"/>
      <c r="J248" s="325"/>
      <c r="K248" s="339"/>
      <c r="L248" s="340"/>
      <c r="M248" s="340"/>
      <c r="N248" s="340"/>
      <c r="O248" s="340"/>
      <c r="P248" s="340"/>
      <c r="Q248" s="340"/>
      <c r="R248" s="340"/>
      <c r="S248" s="348"/>
      <c r="T248" s="348"/>
      <c r="U248" s="348"/>
      <c r="V248" s="340"/>
      <c r="W248" s="340"/>
      <c r="X248" s="340"/>
      <c r="Y248" s="340"/>
    </row>
    <row r="249" spans="1:25" ht="15" thickBot="1" x14ac:dyDescent="0.3">
      <c r="A249" s="325"/>
      <c r="B249" s="325"/>
      <c r="C249" s="325"/>
      <c r="D249" s="325"/>
      <c r="E249" s="325"/>
      <c r="F249" s="325"/>
      <c r="G249" s="325"/>
      <c r="H249" s="325"/>
      <c r="I249" s="325"/>
      <c r="J249" s="325"/>
      <c r="K249" s="339"/>
      <c r="L249" s="340"/>
      <c r="M249" s="340"/>
      <c r="N249" s="340"/>
      <c r="O249" s="340"/>
      <c r="P249" s="340"/>
      <c r="Q249" s="340"/>
      <c r="R249" s="340"/>
      <c r="S249" s="348"/>
      <c r="T249" s="348"/>
      <c r="U249" s="348"/>
      <c r="V249" s="340"/>
      <c r="W249" s="340"/>
      <c r="X249" s="340"/>
      <c r="Y249" s="340"/>
    </row>
    <row r="250" spans="1:25" ht="15" thickBot="1" x14ac:dyDescent="0.3">
      <c r="A250" s="325"/>
      <c r="B250" s="325"/>
      <c r="C250" s="325"/>
      <c r="D250" s="325"/>
      <c r="E250" s="325"/>
      <c r="F250" s="325"/>
      <c r="G250" s="325"/>
      <c r="H250" s="325"/>
      <c r="I250" s="325"/>
      <c r="J250" s="325"/>
      <c r="K250" s="339"/>
      <c r="L250" s="340"/>
      <c r="M250" s="340"/>
      <c r="N250" s="340"/>
      <c r="O250" s="340"/>
      <c r="P250" s="340"/>
      <c r="Q250" s="340"/>
      <c r="R250" s="340"/>
      <c r="S250" s="348"/>
      <c r="T250" s="348"/>
      <c r="U250" s="348"/>
      <c r="V250" s="340"/>
      <c r="W250" s="340"/>
      <c r="X250" s="340"/>
      <c r="Y250" s="340"/>
    </row>
    <row r="251" spans="1:25" ht="15" thickBot="1" x14ac:dyDescent="0.3">
      <c r="A251" s="325"/>
      <c r="B251" s="325"/>
      <c r="C251" s="325"/>
      <c r="D251" s="325"/>
      <c r="E251" s="325"/>
      <c r="F251" s="325"/>
      <c r="G251" s="325"/>
      <c r="H251" s="325"/>
      <c r="I251" s="325"/>
      <c r="J251" s="325"/>
      <c r="K251" s="339"/>
      <c r="L251" s="340"/>
      <c r="M251" s="340"/>
      <c r="N251" s="340"/>
      <c r="O251" s="340"/>
      <c r="P251" s="340"/>
      <c r="Q251" s="340"/>
      <c r="R251" s="340"/>
      <c r="S251" s="348"/>
      <c r="T251" s="348"/>
      <c r="U251" s="348"/>
      <c r="V251" s="340"/>
      <c r="W251" s="340"/>
      <c r="X251" s="340"/>
      <c r="Y251" s="340"/>
    </row>
    <row r="252" spans="1:25" ht="15" thickBot="1" x14ac:dyDescent="0.3">
      <c r="A252" s="325"/>
      <c r="B252" s="325"/>
      <c r="C252" s="325"/>
      <c r="D252" s="325"/>
      <c r="E252" s="325"/>
      <c r="F252" s="325"/>
      <c r="G252" s="325"/>
      <c r="H252" s="325"/>
      <c r="I252" s="325"/>
      <c r="J252" s="325"/>
      <c r="K252" s="339"/>
      <c r="L252" s="340"/>
      <c r="M252" s="340"/>
      <c r="N252" s="340"/>
      <c r="O252" s="340"/>
      <c r="P252" s="340"/>
      <c r="Q252" s="340"/>
      <c r="R252" s="340"/>
      <c r="S252" s="348"/>
      <c r="T252" s="348"/>
      <c r="U252" s="348"/>
      <c r="V252" s="340"/>
      <c r="W252" s="340"/>
      <c r="X252" s="340"/>
      <c r="Y252" s="340"/>
    </row>
    <row r="253" spans="1:25" ht="15" thickBot="1" x14ac:dyDescent="0.3">
      <c r="A253" s="325"/>
      <c r="B253" s="325"/>
      <c r="C253" s="325"/>
      <c r="D253" s="325"/>
      <c r="E253" s="325"/>
      <c r="F253" s="325"/>
      <c r="G253" s="325"/>
      <c r="H253" s="325"/>
      <c r="I253" s="325"/>
      <c r="J253" s="325"/>
      <c r="K253" s="339"/>
      <c r="L253" s="340"/>
      <c r="M253" s="340"/>
      <c r="N253" s="340"/>
      <c r="O253" s="340"/>
      <c r="P253" s="340"/>
      <c r="Q253" s="340"/>
      <c r="R253" s="340"/>
      <c r="S253" s="348"/>
      <c r="T253" s="348"/>
      <c r="U253" s="348"/>
      <c r="V253" s="340"/>
      <c r="W253" s="340"/>
      <c r="X253" s="340"/>
      <c r="Y253" s="340"/>
    </row>
    <row r="254" spans="1:25" ht="15" thickBot="1" x14ac:dyDescent="0.3">
      <c r="A254" s="325"/>
      <c r="B254" s="325"/>
      <c r="C254" s="325"/>
      <c r="D254" s="325"/>
      <c r="E254" s="325"/>
      <c r="F254" s="325"/>
      <c r="G254" s="325"/>
      <c r="H254" s="325"/>
      <c r="I254" s="325"/>
      <c r="J254" s="325"/>
      <c r="K254" s="339"/>
      <c r="L254" s="340"/>
      <c r="M254" s="340"/>
      <c r="N254" s="340"/>
      <c r="O254" s="340"/>
      <c r="P254" s="340"/>
      <c r="Q254" s="340"/>
      <c r="R254" s="340"/>
      <c r="S254" s="348"/>
      <c r="T254" s="348"/>
      <c r="U254" s="348"/>
      <c r="V254" s="340"/>
      <c r="W254" s="340"/>
      <c r="X254" s="340"/>
      <c r="Y254" s="340"/>
    </row>
    <row r="255" spans="1:25" ht="15" thickBot="1" x14ac:dyDescent="0.3">
      <c r="A255" s="325"/>
      <c r="B255" s="325"/>
      <c r="C255" s="325"/>
      <c r="D255" s="325"/>
      <c r="E255" s="325"/>
      <c r="F255" s="325"/>
      <c r="G255" s="325"/>
      <c r="H255" s="325"/>
      <c r="I255" s="325"/>
      <c r="J255" s="325"/>
      <c r="K255" s="339"/>
      <c r="L255" s="340"/>
      <c r="M255" s="340"/>
      <c r="N255" s="340"/>
      <c r="O255" s="340"/>
      <c r="P255" s="340"/>
      <c r="Q255" s="340"/>
      <c r="R255" s="340"/>
      <c r="S255" s="348"/>
      <c r="T255" s="348"/>
      <c r="U255" s="348"/>
      <c r="V255" s="340"/>
      <c r="W255" s="340"/>
      <c r="X255" s="340"/>
      <c r="Y255" s="340"/>
    </row>
    <row r="256" spans="1:25" ht="15" thickBot="1" x14ac:dyDescent="0.3">
      <c r="A256" s="325"/>
      <c r="B256" s="325"/>
      <c r="C256" s="325"/>
      <c r="D256" s="325"/>
      <c r="E256" s="325"/>
      <c r="F256" s="325"/>
      <c r="G256" s="325"/>
      <c r="H256" s="325"/>
      <c r="I256" s="325"/>
      <c r="J256" s="325"/>
      <c r="K256" s="339"/>
      <c r="L256" s="340"/>
      <c r="M256" s="340"/>
      <c r="N256" s="340"/>
      <c r="O256" s="340"/>
      <c r="P256" s="340"/>
      <c r="Q256" s="340"/>
      <c r="R256" s="340"/>
      <c r="S256" s="348"/>
      <c r="T256" s="348"/>
      <c r="U256" s="348"/>
      <c r="V256" s="340"/>
      <c r="W256" s="340"/>
      <c r="X256" s="340"/>
      <c r="Y256" s="340"/>
    </row>
    <row r="257" spans="1:25" ht="15" thickBot="1" x14ac:dyDescent="0.3">
      <c r="A257" s="325"/>
      <c r="B257" s="325"/>
      <c r="C257" s="325"/>
      <c r="D257" s="325"/>
      <c r="E257" s="325"/>
      <c r="F257" s="325"/>
      <c r="G257" s="325"/>
      <c r="H257" s="325"/>
      <c r="I257" s="325"/>
      <c r="J257" s="325"/>
      <c r="K257" s="339"/>
      <c r="L257" s="340"/>
      <c r="M257" s="340"/>
      <c r="N257" s="340"/>
      <c r="O257" s="340"/>
      <c r="P257" s="340"/>
      <c r="Q257" s="340"/>
      <c r="R257" s="340"/>
      <c r="S257" s="348"/>
      <c r="T257" s="348"/>
      <c r="U257" s="348"/>
      <c r="V257" s="340"/>
      <c r="W257" s="340"/>
      <c r="X257" s="340"/>
      <c r="Y257" s="340"/>
    </row>
    <row r="258" spans="1:25" ht="15" thickBot="1" x14ac:dyDescent="0.3">
      <c r="A258" s="325"/>
      <c r="B258" s="325"/>
      <c r="C258" s="325"/>
      <c r="D258" s="325"/>
      <c r="E258" s="325"/>
      <c r="F258" s="325"/>
      <c r="G258" s="325"/>
      <c r="H258" s="325"/>
      <c r="I258" s="325"/>
      <c r="J258" s="325"/>
      <c r="K258" s="339"/>
      <c r="L258" s="340"/>
      <c r="M258" s="340"/>
      <c r="N258" s="340"/>
      <c r="O258" s="340"/>
      <c r="P258" s="340"/>
      <c r="Q258" s="340"/>
      <c r="R258" s="340"/>
      <c r="S258" s="348"/>
      <c r="T258" s="348"/>
      <c r="U258" s="348"/>
      <c r="V258" s="340"/>
      <c r="W258" s="340"/>
      <c r="X258" s="340"/>
      <c r="Y258" s="340"/>
    </row>
    <row r="259" spans="1:25" ht="15" thickBot="1" x14ac:dyDescent="0.3">
      <c r="A259" s="325"/>
      <c r="B259" s="325"/>
      <c r="C259" s="325"/>
      <c r="D259" s="325"/>
      <c r="E259" s="325"/>
      <c r="F259" s="325"/>
      <c r="G259" s="325"/>
      <c r="H259" s="325"/>
      <c r="I259" s="325"/>
      <c r="J259" s="325"/>
      <c r="K259" s="339"/>
      <c r="L259" s="340"/>
      <c r="M259" s="340"/>
      <c r="N259" s="340"/>
      <c r="O259" s="340"/>
      <c r="P259" s="340"/>
      <c r="Q259" s="340"/>
      <c r="R259" s="340"/>
      <c r="S259" s="348"/>
      <c r="T259" s="348"/>
      <c r="U259" s="348"/>
      <c r="V259" s="340"/>
      <c r="W259" s="340"/>
      <c r="X259" s="340"/>
      <c r="Y259" s="340"/>
    </row>
    <row r="260" spans="1:25" ht="15" thickBot="1" x14ac:dyDescent="0.3">
      <c r="A260" s="325"/>
      <c r="B260" s="325"/>
      <c r="C260" s="325"/>
      <c r="D260" s="325"/>
      <c r="E260" s="325"/>
      <c r="F260" s="325"/>
      <c r="G260" s="325"/>
      <c r="H260" s="325"/>
      <c r="I260" s="325"/>
      <c r="J260" s="325"/>
      <c r="K260" s="339"/>
      <c r="L260" s="340"/>
      <c r="M260" s="340"/>
      <c r="N260" s="340"/>
      <c r="O260" s="340"/>
      <c r="P260" s="340"/>
      <c r="Q260" s="340"/>
      <c r="R260" s="340"/>
      <c r="S260" s="348"/>
      <c r="T260" s="348"/>
      <c r="U260" s="348"/>
      <c r="V260" s="340"/>
      <c r="W260" s="340"/>
      <c r="X260" s="340"/>
      <c r="Y260" s="340"/>
    </row>
    <row r="261" spans="1:25" ht="15" thickBot="1" x14ac:dyDescent="0.3">
      <c r="A261" s="325"/>
      <c r="B261" s="325"/>
      <c r="C261" s="325"/>
      <c r="D261" s="325"/>
      <c r="E261" s="325"/>
      <c r="F261" s="325"/>
      <c r="G261" s="325"/>
      <c r="H261" s="325"/>
      <c r="I261" s="325"/>
      <c r="J261" s="325"/>
      <c r="K261" s="339"/>
      <c r="L261" s="340"/>
      <c r="M261" s="340"/>
      <c r="N261" s="340"/>
      <c r="O261" s="340"/>
      <c r="P261" s="340"/>
      <c r="Q261" s="340"/>
      <c r="R261" s="340"/>
      <c r="S261" s="348"/>
      <c r="T261" s="348"/>
      <c r="U261" s="348"/>
      <c r="V261" s="340"/>
      <c r="W261" s="340"/>
      <c r="X261" s="340"/>
      <c r="Y261" s="340"/>
    </row>
    <row r="262" spans="1:25" ht="15" thickBot="1" x14ac:dyDescent="0.3">
      <c r="A262" s="325"/>
      <c r="B262" s="325"/>
      <c r="C262" s="325"/>
      <c r="D262" s="325"/>
      <c r="E262" s="325"/>
      <c r="F262" s="325"/>
      <c r="G262" s="325"/>
      <c r="H262" s="325"/>
      <c r="I262" s="325"/>
      <c r="J262" s="325"/>
      <c r="K262" s="339"/>
      <c r="L262" s="340"/>
      <c r="M262" s="340"/>
      <c r="N262" s="340"/>
      <c r="O262" s="340"/>
      <c r="P262" s="340"/>
      <c r="Q262" s="340"/>
      <c r="R262" s="340"/>
      <c r="S262" s="348"/>
      <c r="T262" s="348"/>
      <c r="U262" s="348"/>
      <c r="V262" s="340"/>
      <c r="W262" s="340"/>
      <c r="X262" s="340"/>
      <c r="Y262" s="340"/>
    </row>
    <row r="263" spans="1:25" ht="15" thickBot="1" x14ac:dyDescent="0.3">
      <c r="A263" s="325"/>
      <c r="B263" s="325"/>
      <c r="C263" s="325"/>
      <c r="D263" s="325"/>
      <c r="E263" s="325"/>
      <c r="F263" s="325"/>
      <c r="G263" s="325"/>
      <c r="H263" s="325"/>
      <c r="I263" s="325"/>
      <c r="J263" s="325"/>
      <c r="K263" s="339"/>
      <c r="L263" s="340"/>
      <c r="M263" s="340"/>
      <c r="N263" s="340"/>
      <c r="O263" s="340"/>
      <c r="P263" s="340"/>
      <c r="Q263" s="340"/>
      <c r="R263" s="340"/>
      <c r="S263" s="348"/>
      <c r="T263" s="348"/>
      <c r="U263" s="348"/>
      <c r="V263" s="340"/>
      <c r="W263" s="340"/>
      <c r="X263" s="340"/>
      <c r="Y263" s="340"/>
    </row>
    <row r="264" spans="1:25" ht="15" thickBot="1" x14ac:dyDescent="0.3">
      <c r="A264" s="325"/>
      <c r="B264" s="325"/>
      <c r="C264" s="325"/>
      <c r="D264" s="325"/>
      <c r="E264" s="325"/>
      <c r="F264" s="325"/>
      <c r="G264" s="325"/>
      <c r="H264" s="325"/>
      <c r="I264" s="325"/>
      <c r="J264" s="325"/>
      <c r="K264" s="339"/>
      <c r="L264" s="340"/>
      <c r="M264" s="340"/>
      <c r="N264" s="340"/>
      <c r="O264" s="340"/>
      <c r="P264" s="340"/>
      <c r="Q264" s="340"/>
      <c r="R264" s="340"/>
      <c r="S264" s="348"/>
      <c r="T264" s="348"/>
      <c r="U264" s="348"/>
      <c r="V264" s="340"/>
      <c r="W264" s="340"/>
      <c r="X264" s="340"/>
      <c r="Y264" s="340"/>
    </row>
    <row r="265" spans="1:25" ht="15" thickBot="1" x14ac:dyDescent="0.3">
      <c r="A265" s="325"/>
      <c r="B265" s="325"/>
      <c r="C265" s="325"/>
      <c r="D265" s="325"/>
      <c r="E265" s="325"/>
      <c r="F265" s="325"/>
      <c r="G265" s="325"/>
      <c r="H265" s="325"/>
      <c r="I265" s="325"/>
      <c r="J265" s="325"/>
      <c r="K265" s="339"/>
      <c r="L265" s="340"/>
      <c r="M265" s="340"/>
      <c r="N265" s="340"/>
      <c r="O265" s="340"/>
      <c r="P265" s="340"/>
      <c r="Q265" s="340"/>
      <c r="R265" s="340"/>
      <c r="S265" s="348"/>
      <c r="T265" s="348"/>
      <c r="U265" s="348"/>
      <c r="V265" s="340"/>
      <c r="W265" s="340"/>
      <c r="X265" s="340"/>
      <c r="Y265" s="340"/>
    </row>
    <row r="266" spans="1:25" ht="15" thickBot="1" x14ac:dyDescent="0.3">
      <c r="A266" s="325"/>
      <c r="B266" s="325"/>
      <c r="C266" s="325"/>
      <c r="D266" s="325"/>
      <c r="E266" s="325"/>
      <c r="F266" s="325"/>
      <c r="G266" s="325"/>
      <c r="H266" s="325"/>
      <c r="I266" s="325"/>
      <c r="J266" s="325"/>
      <c r="K266" s="339"/>
      <c r="L266" s="340"/>
      <c r="M266" s="340"/>
      <c r="N266" s="340"/>
      <c r="O266" s="340"/>
      <c r="P266" s="340"/>
      <c r="Q266" s="340"/>
      <c r="R266" s="340"/>
      <c r="S266" s="348"/>
      <c r="T266" s="348"/>
      <c r="U266" s="348"/>
      <c r="V266" s="340"/>
      <c r="W266" s="340"/>
      <c r="X266" s="340"/>
      <c r="Y266" s="340"/>
    </row>
    <row r="267" spans="1:25" ht="15" thickBot="1" x14ac:dyDescent="0.3">
      <c r="A267" s="325"/>
      <c r="B267" s="325"/>
      <c r="C267" s="325"/>
      <c r="D267" s="325"/>
      <c r="E267" s="325"/>
      <c r="F267" s="325"/>
      <c r="G267" s="325"/>
      <c r="H267" s="325"/>
      <c r="I267" s="325"/>
      <c r="J267" s="325"/>
      <c r="K267" s="339"/>
      <c r="L267" s="340"/>
      <c r="M267" s="340"/>
      <c r="N267" s="340"/>
      <c r="O267" s="340"/>
      <c r="P267" s="340"/>
      <c r="Q267" s="340"/>
      <c r="R267" s="340"/>
      <c r="S267" s="348"/>
      <c r="T267" s="348"/>
      <c r="U267" s="348"/>
      <c r="V267" s="340"/>
      <c r="W267" s="340"/>
      <c r="X267" s="340"/>
      <c r="Y267" s="340"/>
    </row>
    <row r="268" spans="1:25" ht="15" thickBot="1" x14ac:dyDescent="0.3">
      <c r="A268" s="325"/>
      <c r="B268" s="325"/>
      <c r="C268" s="325"/>
      <c r="D268" s="325"/>
      <c r="E268" s="325"/>
      <c r="F268" s="325"/>
      <c r="G268" s="325"/>
      <c r="H268" s="325"/>
      <c r="I268" s="325"/>
      <c r="J268" s="325"/>
      <c r="K268" s="339"/>
      <c r="L268" s="340"/>
      <c r="M268" s="340"/>
      <c r="N268" s="340"/>
      <c r="O268" s="340"/>
      <c r="P268" s="340"/>
      <c r="Q268" s="340"/>
      <c r="R268" s="340"/>
      <c r="S268" s="348"/>
      <c r="T268" s="348"/>
      <c r="U268" s="348"/>
      <c r="V268" s="340"/>
      <c r="W268" s="340"/>
      <c r="X268" s="340"/>
      <c r="Y268" s="340"/>
    </row>
    <row r="269" spans="1:25" ht="15" thickBot="1" x14ac:dyDescent="0.3">
      <c r="A269" s="325"/>
      <c r="B269" s="325"/>
      <c r="C269" s="325"/>
      <c r="D269" s="325"/>
      <c r="E269" s="325"/>
      <c r="F269" s="325"/>
      <c r="G269" s="325"/>
      <c r="H269" s="325"/>
      <c r="I269" s="325"/>
      <c r="J269" s="325"/>
      <c r="K269" s="339"/>
      <c r="L269" s="340"/>
      <c r="M269" s="340"/>
      <c r="N269" s="340"/>
      <c r="O269" s="340"/>
      <c r="P269" s="340"/>
      <c r="Q269" s="340"/>
      <c r="R269" s="340"/>
      <c r="S269" s="348"/>
      <c r="T269" s="348"/>
      <c r="U269" s="348"/>
      <c r="V269" s="340"/>
      <c r="W269" s="340"/>
      <c r="X269" s="340"/>
      <c r="Y269" s="340"/>
    </row>
    <row r="270" spans="1:25" ht="15" thickBot="1" x14ac:dyDescent="0.3">
      <c r="A270" s="325"/>
      <c r="B270" s="325"/>
      <c r="C270" s="325"/>
      <c r="D270" s="325"/>
      <c r="E270" s="325"/>
      <c r="F270" s="325"/>
      <c r="G270" s="325"/>
      <c r="H270" s="325"/>
      <c r="I270" s="325"/>
      <c r="J270" s="325"/>
      <c r="K270" s="339"/>
      <c r="L270" s="340"/>
      <c r="M270" s="340"/>
      <c r="N270" s="340"/>
      <c r="O270" s="340"/>
      <c r="P270" s="340"/>
      <c r="Q270" s="340"/>
      <c r="R270" s="340"/>
      <c r="S270" s="348"/>
      <c r="T270" s="348"/>
      <c r="U270" s="348"/>
      <c r="V270" s="340"/>
      <c r="W270" s="340"/>
      <c r="X270" s="340"/>
      <c r="Y270" s="340"/>
    </row>
    <row r="271" spans="1:25" ht="15" thickBot="1" x14ac:dyDescent="0.3">
      <c r="A271" s="325"/>
      <c r="B271" s="325"/>
      <c r="C271" s="325"/>
      <c r="D271" s="325"/>
      <c r="E271" s="325"/>
      <c r="F271" s="325"/>
      <c r="G271" s="325"/>
      <c r="H271" s="325"/>
      <c r="I271" s="325"/>
      <c r="J271" s="325"/>
      <c r="K271" s="339"/>
      <c r="L271" s="340"/>
      <c r="M271" s="340"/>
      <c r="N271" s="340"/>
      <c r="O271" s="340"/>
      <c r="P271" s="340"/>
      <c r="Q271" s="340"/>
      <c r="R271" s="340"/>
      <c r="S271" s="348"/>
      <c r="T271" s="348"/>
      <c r="U271" s="348"/>
      <c r="V271" s="340"/>
      <c r="W271" s="340"/>
      <c r="X271" s="340"/>
      <c r="Y271" s="340"/>
    </row>
    <row r="272" spans="1:25" ht="15" thickBot="1" x14ac:dyDescent="0.3">
      <c r="A272" s="325"/>
      <c r="B272" s="325"/>
      <c r="C272" s="325"/>
      <c r="D272" s="325"/>
      <c r="E272" s="325"/>
      <c r="F272" s="325"/>
      <c r="G272" s="325"/>
      <c r="H272" s="325"/>
      <c r="I272" s="325"/>
      <c r="J272" s="325"/>
      <c r="K272" s="339"/>
      <c r="L272" s="340"/>
      <c r="M272" s="340"/>
      <c r="N272" s="340"/>
      <c r="O272" s="340"/>
      <c r="P272" s="340"/>
      <c r="Q272" s="340"/>
      <c r="R272" s="340"/>
      <c r="S272" s="348"/>
      <c r="T272" s="348"/>
      <c r="U272" s="348"/>
      <c r="V272" s="340"/>
      <c r="W272" s="340"/>
      <c r="X272" s="340"/>
      <c r="Y272" s="340"/>
    </row>
    <row r="273" spans="1:25" ht="15" thickBot="1" x14ac:dyDescent="0.3">
      <c r="A273" s="325"/>
      <c r="B273" s="325"/>
      <c r="C273" s="325"/>
      <c r="D273" s="325"/>
      <c r="E273" s="325"/>
      <c r="F273" s="325"/>
      <c r="G273" s="325"/>
      <c r="H273" s="325"/>
      <c r="I273" s="325"/>
      <c r="J273" s="325"/>
      <c r="K273" s="339"/>
      <c r="L273" s="340"/>
      <c r="M273" s="340"/>
      <c r="N273" s="340"/>
      <c r="O273" s="340"/>
      <c r="P273" s="340"/>
      <c r="Q273" s="340"/>
      <c r="R273" s="340"/>
      <c r="S273" s="348"/>
      <c r="T273" s="348"/>
      <c r="U273" s="348"/>
      <c r="V273" s="340"/>
      <c r="W273" s="340"/>
      <c r="X273" s="340"/>
      <c r="Y273" s="340"/>
    </row>
    <row r="274" spans="1:25" ht="15" thickBot="1" x14ac:dyDescent="0.3">
      <c r="A274" s="325"/>
      <c r="B274" s="325"/>
      <c r="C274" s="325"/>
      <c r="D274" s="325"/>
      <c r="E274" s="325"/>
      <c r="F274" s="325"/>
      <c r="G274" s="325"/>
      <c r="H274" s="325"/>
      <c r="I274" s="325"/>
      <c r="J274" s="325"/>
      <c r="K274" s="339"/>
      <c r="L274" s="340"/>
      <c r="M274" s="340"/>
      <c r="N274" s="340"/>
      <c r="O274" s="340"/>
      <c r="P274" s="340"/>
      <c r="Q274" s="340"/>
      <c r="R274" s="340"/>
      <c r="S274" s="348"/>
      <c r="T274" s="348"/>
      <c r="U274" s="348"/>
      <c r="V274" s="340"/>
      <c r="W274" s="340"/>
      <c r="X274" s="340"/>
      <c r="Y274" s="340"/>
    </row>
    <row r="275" spans="1:25" ht="15" thickBot="1" x14ac:dyDescent="0.3">
      <c r="A275" s="325"/>
      <c r="B275" s="325"/>
      <c r="C275" s="325"/>
      <c r="D275" s="325"/>
      <c r="E275" s="325"/>
      <c r="F275" s="325"/>
      <c r="G275" s="325"/>
      <c r="H275" s="325"/>
      <c r="I275" s="325"/>
      <c r="J275" s="325"/>
      <c r="K275" s="339"/>
      <c r="L275" s="340"/>
      <c r="M275" s="340"/>
      <c r="N275" s="340"/>
      <c r="O275" s="340"/>
      <c r="P275" s="340"/>
      <c r="Q275" s="340"/>
      <c r="R275" s="340"/>
      <c r="S275" s="348"/>
      <c r="T275" s="348"/>
      <c r="U275" s="348"/>
      <c r="V275" s="340"/>
      <c r="W275" s="340"/>
      <c r="X275" s="340"/>
      <c r="Y275" s="340"/>
    </row>
    <row r="276" spans="1:25" ht="15" thickBot="1" x14ac:dyDescent="0.3">
      <c r="A276" s="325"/>
      <c r="B276" s="325"/>
      <c r="C276" s="325"/>
      <c r="D276" s="325"/>
      <c r="E276" s="325"/>
      <c r="F276" s="325"/>
      <c r="G276" s="325"/>
      <c r="H276" s="325"/>
      <c r="I276" s="325"/>
      <c r="J276" s="325"/>
      <c r="K276" s="339"/>
      <c r="L276" s="340"/>
      <c r="M276" s="340"/>
      <c r="N276" s="340"/>
      <c r="O276" s="340"/>
      <c r="P276" s="340"/>
      <c r="Q276" s="340"/>
      <c r="R276" s="340"/>
      <c r="S276" s="348"/>
      <c r="T276" s="348"/>
      <c r="U276" s="348"/>
      <c r="V276" s="340"/>
      <c r="W276" s="340"/>
      <c r="X276" s="340"/>
      <c r="Y276" s="340"/>
    </row>
    <row r="277" spans="1:25" ht="15" thickBot="1" x14ac:dyDescent="0.3">
      <c r="A277" s="325"/>
      <c r="B277" s="325"/>
      <c r="C277" s="325"/>
      <c r="D277" s="325"/>
      <c r="E277" s="325"/>
      <c r="F277" s="325"/>
      <c r="G277" s="325"/>
      <c r="H277" s="325"/>
      <c r="I277" s="325"/>
      <c r="J277" s="325"/>
      <c r="K277" s="339"/>
      <c r="L277" s="340"/>
      <c r="M277" s="340"/>
      <c r="N277" s="340"/>
      <c r="O277" s="340"/>
      <c r="P277" s="340"/>
      <c r="Q277" s="340"/>
      <c r="R277" s="340"/>
      <c r="S277" s="348"/>
      <c r="T277" s="348"/>
      <c r="U277" s="348"/>
      <c r="V277" s="340"/>
      <c r="W277" s="340"/>
      <c r="X277" s="340"/>
      <c r="Y277" s="340"/>
    </row>
    <row r="278" spans="1:25" ht="15" thickBot="1" x14ac:dyDescent="0.3">
      <c r="A278" s="325"/>
      <c r="B278" s="325"/>
      <c r="C278" s="325"/>
      <c r="D278" s="325"/>
      <c r="E278" s="325"/>
      <c r="F278" s="325"/>
      <c r="G278" s="325"/>
      <c r="H278" s="325"/>
      <c r="I278" s="325"/>
      <c r="J278" s="325"/>
      <c r="K278" s="339"/>
      <c r="L278" s="340"/>
      <c r="M278" s="340"/>
      <c r="N278" s="340"/>
      <c r="O278" s="340"/>
      <c r="P278" s="340"/>
      <c r="Q278" s="340"/>
      <c r="R278" s="340"/>
      <c r="S278" s="348"/>
      <c r="T278" s="348"/>
      <c r="U278" s="348"/>
      <c r="V278" s="340"/>
      <c r="W278" s="340"/>
      <c r="X278" s="340"/>
      <c r="Y278" s="340"/>
    </row>
    <row r="279" spans="1:25" ht="15" thickBot="1" x14ac:dyDescent="0.3">
      <c r="A279" s="325"/>
      <c r="B279" s="325"/>
      <c r="C279" s="325"/>
      <c r="D279" s="325"/>
      <c r="E279" s="325"/>
      <c r="F279" s="325"/>
      <c r="G279" s="325"/>
      <c r="H279" s="325"/>
      <c r="I279" s="325"/>
      <c r="J279" s="325"/>
      <c r="K279" s="339"/>
      <c r="L279" s="340"/>
      <c r="M279" s="340"/>
      <c r="N279" s="340"/>
      <c r="O279" s="340"/>
      <c r="P279" s="340"/>
      <c r="Q279" s="340"/>
      <c r="R279" s="340"/>
      <c r="S279" s="348"/>
      <c r="T279" s="348"/>
      <c r="U279" s="348"/>
      <c r="V279" s="340"/>
      <c r="W279" s="340"/>
      <c r="X279" s="340"/>
      <c r="Y279" s="340"/>
    </row>
    <row r="280" spans="1:25" ht="15" thickBot="1" x14ac:dyDescent="0.3">
      <c r="A280" s="325"/>
      <c r="B280" s="325"/>
      <c r="C280" s="325"/>
      <c r="D280" s="325"/>
      <c r="E280" s="325"/>
      <c r="F280" s="325"/>
      <c r="G280" s="325"/>
      <c r="H280" s="325"/>
      <c r="I280" s="325"/>
      <c r="J280" s="325"/>
      <c r="K280" s="339"/>
      <c r="L280" s="340"/>
      <c r="M280" s="340"/>
      <c r="N280" s="340"/>
      <c r="O280" s="340"/>
      <c r="P280" s="340"/>
      <c r="Q280" s="340"/>
      <c r="R280" s="340"/>
      <c r="S280" s="348"/>
      <c r="T280" s="348"/>
      <c r="U280" s="348"/>
      <c r="V280" s="340"/>
      <c r="W280" s="340"/>
      <c r="X280" s="340"/>
      <c r="Y280" s="340"/>
    </row>
    <row r="281" spans="1:25" ht="15" thickBot="1" x14ac:dyDescent="0.3">
      <c r="A281" s="325"/>
      <c r="B281" s="325"/>
      <c r="C281" s="325"/>
      <c r="D281" s="325"/>
      <c r="E281" s="325"/>
      <c r="F281" s="325"/>
      <c r="G281" s="325"/>
      <c r="H281" s="325"/>
      <c r="I281" s="325"/>
      <c r="J281" s="325"/>
      <c r="K281" s="339"/>
      <c r="L281" s="340"/>
      <c r="M281" s="340"/>
      <c r="N281" s="340"/>
      <c r="O281" s="340"/>
      <c r="P281" s="340"/>
      <c r="Q281" s="340"/>
      <c r="R281" s="340"/>
      <c r="S281" s="348"/>
      <c r="T281" s="348"/>
      <c r="U281" s="348"/>
      <c r="V281" s="340"/>
      <c r="W281" s="340"/>
      <c r="X281" s="340"/>
      <c r="Y281" s="340"/>
    </row>
    <row r="282" spans="1:25" ht="15" thickBot="1" x14ac:dyDescent="0.3">
      <c r="A282" s="325"/>
      <c r="B282" s="325"/>
      <c r="C282" s="325"/>
      <c r="D282" s="325"/>
      <c r="E282" s="325"/>
      <c r="F282" s="325"/>
      <c r="G282" s="325"/>
      <c r="H282" s="325"/>
      <c r="I282" s="325"/>
      <c r="J282" s="325"/>
      <c r="K282" s="339"/>
      <c r="L282" s="340"/>
      <c r="M282" s="340"/>
      <c r="N282" s="340"/>
      <c r="O282" s="340"/>
      <c r="P282" s="340"/>
      <c r="Q282" s="340"/>
      <c r="R282" s="340"/>
      <c r="S282" s="348"/>
      <c r="T282" s="348"/>
      <c r="U282" s="348"/>
      <c r="V282" s="340"/>
      <c r="W282" s="340"/>
      <c r="X282" s="340"/>
      <c r="Y282" s="340"/>
    </row>
    <row r="283" spans="1:25" ht="15" thickBot="1" x14ac:dyDescent="0.3">
      <c r="A283" s="325"/>
      <c r="B283" s="325"/>
      <c r="C283" s="325"/>
      <c r="D283" s="325"/>
      <c r="E283" s="325"/>
      <c r="F283" s="325"/>
      <c r="G283" s="325"/>
      <c r="H283" s="325"/>
      <c r="I283" s="325"/>
      <c r="J283" s="325"/>
      <c r="K283" s="339"/>
      <c r="L283" s="340"/>
      <c r="M283" s="340"/>
      <c r="N283" s="340"/>
      <c r="O283" s="340"/>
      <c r="P283" s="340"/>
      <c r="Q283" s="340"/>
      <c r="R283" s="340"/>
      <c r="S283" s="348"/>
      <c r="T283" s="348"/>
      <c r="U283" s="348"/>
      <c r="V283" s="340"/>
      <c r="W283" s="340"/>
      <c r="X283" s="340"/>
      <c r="Y283" s="340"/>
    </row>
    <row r="284" spans="1:25" ht="15" thickBot="1" x14ac:dyDescent="0.3">
      <c r="A284" s="325"/>
      <c r="B284" s="325"/>
      <c r="C284" s="325"/>
      <c r="D284" s="325"/>
      <c r="E284" s="325"/>
      <c r="F284" s="325"/>
      <c r="G284" s="325"/>
      <c r="H284" s="325"/>
      <c r="I284" s="325"/>
      <c r="J284" s="325"/>
      <c r="K284" s="339"/>
      <c r="L284" s="340"/>
      <c r="M284" s="340"/>
      <c r="N284" s="340"/>
      <c r="O284" s="340"/>
      <c r="P284" s="340"/>
      <c r="Q284" s="340"/>
      <c r="R284" s="340"/>
      <c r="S284" s="348"/>
      <c r="T284" s="348"/>
      <c r="U284" s="348"/>
      <c r="V284" s="340"/>
      <c r="W284" s="340"/>
      <c r="X284" s="340"/>
      <c r="Y284" s="340"/>
    </row>
    <row r="285" spans="1:25" ht="15" thickBot="1" x14ac:dyDescent="0.3">
      <c r="A285" s="325"/>
      <c r="B285" s="325"/>
      <c r="C285" s="325"/>
      <c r="D285" s="325"/>
      <c r="E285" s="325"/>
      <c r="F285" s="325"/>
      <c r="G285" s="325"/>
      <c r="H285" s="325"/>
      <c r="I285" s="325"/>
      <c r="J285" s="325"/>
      <c r="K285" s="339"/>
      <c r="L285" s="340"/>
      <c r="M285" s="340"/>
      <c r="N285" s="340"/>
      <c r="O285" s="340"/>
      <c r="P285" s="340"/>
      <c r="Q285" s="340"/>
      <c r="R285" s="340"/>
      <c r="S285" s="348"/>
      <c r="T285" s="348"/>
      <c r="U285" s="348"/>
      <c r="V285" s="340"/>
      <c r="W285" s="340"/>
      <c r="X285" s="340"/>
      <c r="Y285" s="340"/>
    </row>
    <row r="286" spans="1:25" ht="15" thickBot="1" x14ac:dyDescent="0.3">
      <c r="A286" s="325"/>
      <c r="B286" s="325"/>
      <c r="C286" s="325"/>
      <c r="D286" s="325"/>
      <c r="E286" s="325"/>
      <c r="F286" s="325"/>
      <c r="G286" s="325"/>
      <c r="H286" s="325"/>
      <c r="I286" s="325"/>
      <c r="J286" s="325"/>
      <c r="K286" s="339"/>
      <c r="L286" s="340"/>
      <c r="M286" s="340"/>
      <c r="N286" s="340"/>
      <c r="O286" s="340"/>
      <c r="P286" s="340"/>
      <c r="Q286" s="340"/>
      <c r="R286" s="340"/>
      <c r="S286" s="348"/>
      <c r="T286" s="348"/>
      <c r="U286" s="348"/>
      <c r="V286" s="340"/>
      <c r="W286" s="340"/>
      <c r="X286" s="340"/>
      <c r="Y286" s="340"/>
    </row>
    <row r="287" spans="1:25" ht="15" thickBot="1" x14ac:dyDescent="0.3">
      <c r="A287" s="325"/>
      <c r="B287" s="325"/>
      <c r="C287" s="325"/>
      <c r="D287" s="325"/>
      <c r="E287" s="325"/>
      <c r="F287" s="325"/>
      <c r="G287" s="325"/>
      <c r="H287" s="325"/>
      <c r="I287" s="325"/>
      <c r="J287" s="325"/>
      <c r="K287" s="339"/>
      <c r="L287" s="340"/>
      <c r="M287" s="340"/>
      <c r="N287" s="340"/>
      <c r="O287" s="340"/>
      <c r="P287" s="340"/>
      <c r="Q287" s="340"/>
      <c r="R287" s="340"/>
      <c r="S287" s="348"/>
      <c r="T287" s="348"/>
      <c r="U287" s="348"/>
      <c r="V287" s="340"/>
      <c r="W287" s="340"/>
      <c r="X287" s="340"/>
      <c r="Y287" s="340"/>
    </row>
    <row r="288" spans="1:25" ht="15" thickBot="1" x14ac:dyDescent="0.3">
      <c r="A288" s="325"/>
      <c r="B288" s="325"/>
      <c r="C288" s="325"/>
      <c r="D288" s="325"/>
      <c r="E288" s="325"/>
      <c r="F288" s="325"/>
      <c r="G288" s="325"/>
      <c r="H288" s="325"/>
      <c r="I288" s="325"/>
      <c r="J288" s="325"/>
      <c r="K288" s="339"/>
      <c r="L288" s="340"/>
      <c r="M288" s="340"/>
      <c r="N288" s="340"/>
      <c r="O288" s="340"/>
      <c r="P288" s="340"/>
      <c r="Q288" s="340"/>
      <c r="R288" s="340"/>
      <c r="S288" s="348"/>
      <c r="T288" s="348"/>
      <c r="U288" s="348"/>
      <c r="V288" s="340"/>
      <c r="W288" s="340"/>
      <c r="X288" s="340"/>
      <c r="Y288" s="340"/>
    </row>
    <row r="289" spans="1:25" ht="15" thickBot="1" x14ac:dyDescent="0.3">
      <c r="A289" s="325"/>
      <c r="B289" s="325"/>
      <c r="C289" s="325"/>
      <c r="D289" s="325"/>
      <c r="E289" s="325"/>
      <c r="F289" s="325"/>
      <c r="G289" s="325"/>
      <c r="H289" s="325"/>
      <c r="I289" s="325"/>
      <c r="J289" s="325"/>
      <c r="K289" s="339"/>
      <c r="L289" s="340"/>
      <c r="M289" s="340"/>
      <c r="N289" s="340"/>
      <c r="O289" s="340"/>
      <c r="P289" s="340"/>
      <c r="Q289" s="340"/>
      <c r="R289" s="340"/>
      <c r="S289" s="348"/>
      <c r="T289" s="348"/>
      <c r="U289" s="348"/>
      <c r="V289" s="340"/>
      <c r="W289" s="340"/>
      <c r="X289" s="340"/>
      <c r="Y289" s="340"/>
    </row>
    <row r="290" spans="1:25" ht="15" thickBot="1" x14ac:dyDescent="0.3">
      <c r="A290" s="325"/>
      <c r="B290" s="325"/>
      <c r="C290" s="325"/>
      <c r="D290" s="325"/>
      <c r="E290" s="325"/>
      <c r="F290" s="325"/>
      <c r="G290" s="325"/>
      <c r="H290" s="325"/>
      <c r="I290" s="325"/>
      <c r="J290" s="325"/>
      <c r="K290" s="339"/>
      <c r="L290" s="340"/>
      <c r="M290" s="340"/>
      <c r="N290" s="340"/>
      <c r="O290" s="340"/>
      <c r="P290" s="340"/>
      <c r="Q290" s="340"/>
      <c r="R290" s="340"/>
      <c r="S290" s="348"/>
      <c r="T290" s="348"/>
      <c r="U290" s="348"/>
      <c r="V290" s="340"/>
      <c r="W290" s="340"/>
      <c r="X290" s="340"/>
      <c r="Y290" s="340"/>
    </row>
    <row r="291" spans="1:25" ht="15" thickBot="1" x14ac:dyDescent="0.3">
      <c r="A291" s="325"/>
      <c r="B291" s="325"/>
      <c r="C291" s="325"/>
      <c r="D291" s="325"/>
      <c r="E291" s="325"/>
      <c r="F291" s="325"/>
      <c r="G291" s="325"/>
      <c r="H291" s="325"/>
      <c r="I291" s="325"/>
      <c r="J291" s="325"/>
      <c r="K291" s="339"/>
      <c r="L291" s="340"/>
      <c r="M291" s="340"/>
      <c r="N291" s="340"/>
      <c r="O291" s="340"/>
      <c r="P291" s="340"/>
      <c r="Q291" s="340"/>
      <c r="R291" s="340"/>
      <c r="S291" s="348"/>
      <c r="T291" s="348"/>
      <c r="U291" s="348"/>
      <c r="V291" s="340"/>
      <c r="W291" s="340"/>
      <c r="X291" s="340"/>
      <c r="Y291" s="340"/>
    </row>
    <row r="292" spans="1:25" ht="15" thickBot="1" x14ac:dyDescent="0.3">
      <c r="A292" s="325"/>
      <c r="B292" s="325"/>
      <c r="C292" s="325"/>
      <c r="D292" s="325"/>
      <c r="E292" s="325"/>
      <c r="F292" s="325"/>
      <c r="G292" s="325"/>
      <c r="H292" s="325"/>
      <c r="I292" s="325"/>
      <c r="J292" s="325"/>
      <c r="K292" s="339"/>
      <c r="L292" s="340"/>
      <c r="M292" s="340"/>
      <c r="N292" s="340"/>
      <c r="O292" s="340"/>
      <c r="P292" s="340"/>
      <c r="Q292" s="340"/>
      <c r="R292" s="340"/>
      <c r="S292" s="348"/>
      <c r="T292" s="348"/>
      <c r="U292" s="348"/>
      <c r="V292" s="340"/>
      <c r="W292" s="340"/>
      <c r="X292" s="340"/>
      <c r="Y292" s="340"/>
    </row>
    <row r="293" spans="1:25" ht="15" thickBot="1" x14ac:dyDescent="0.3">
      <c r="A293" s="325"/>
      <c r="B293" s="325"/>
      <c r="C293" s="325"/>
      <c r="D293" s="325"/>
      <c r="E293" s="325"/>
      <c r="F293" s="325"/>
      <c r="G293" s="325"/>
      <c r="H293" s="325"/>
      <c r="I293" s="325"/>
      <c r="J293" s="325"/>
      <c r="K293" s="339"/>
      <c r="L293" s="340"/>
      <c r="M293" s="340"/>
      <c r="N293" s="340"/>
      <c r="O293" s="340"/>
      <c r="P293" s="340"/>
      <c r="Q293" s="340"/>
      <c r="R293" s="340"/>
      <c r="S293" s="348"/>
      <c r="T293" s="348"/>
      <c r="U293" s="348"/>
      <c r="V293" s="340"/>
      <c r="W293" s="340"/>
      <c r="X293" s="340"/>
      <c r="Y293" s="340"/>
    </row>
    <row r="294" spans="1:25" ht="15" thickBot="1" x14ac:dyDescent="0.3">
      <c r="A294" s="325"/>
      <c r="B294" s="325"/>
      <c r="C294" s="325"/>
      <c r="D294" s="325"/>
      <c r="E294" s="325"/>
      <c r="F294" s="325"/>
      <c r="G294" s="325"/>
      <c r="H294" s="325"/>
      <c r="I294" s="325"/>
      <c r="J294" s="325"/>
      <c r="K294" s="339"/>
      <c r="L294" s="340"/>
      <c r="M294" s="340"/>
      <c r="N294" s="340"/>
      <c r="O294" s="340"/>
      <c r="P294" s="340"/>
      <c r="Q294" s="340"/>
      <c r="R294" s="340"/>
      <c r="S294" s="348"/>
      <c r="T294" s="348"/>
      <c r="U294" s="348"/>
      <c r="V294" s="340"/>
      <c r="W294" s="340"/>
      <c r="X294" s="340"/>
      <c r="Y294" s="340"/>
    </row>
    <row r="295" spans="1:25" ht="15" thickBot="1" x14ac:dyDescent="0.3">
      <c r="A295" s="325"/>
      <c r="B295" s="325"/>
      <c r="C295" s="325"/>
      <c r="D295" s="325"/>
      <c r="E295" s="325"/>
      <c r="F295" s="325"/>
      <c r="G295" s="325"/>
      <c r="H295" s="325"/>
      <c r="I295" s="325"/>
      <c r="J295" s="325"/>
      <c r="K295" s="339"/>
      <c r="L295" s="340"/>
      <c r="M295" s="340"/>
      <c r="N295" s="340"/>
      <c r="O295" s="340"/>
      <c r="P295" s="340"/>
      <c r="Q295" s="340"/>
      <c r="R295" s="340"/>
      <c r="S295" s="348"/>
      <c r="T295" s="348"/>
      <c r="U295" s="348"/>
      <c r="V295" s="340"/>
      <c r="W295" s="340"/>
      <c r="X295" s="340"/>
      <c r="Y295" s="340"/>
    </row>
    <row r="296" spans="1:25" ht="15" thickBot="1" x14ac:dyDescent="0.3">
      <c r="A296" s="325"/>
      <c r="B296" s="325"/>
      <c r="C296" s="325"/>
      <c r="D296" s="325"/>
      <c r="E296" s="325"/>
      <c r="F296" s="325"/>
      <c r="G296" s="325"/>
      <c r="H296" s="325"/>
      <c r="I296" s="325"/>
      <c r="J296" s="325"/>
      <c r="K296" s="339"/>
      <c r="L296" s="340"/>
      <c r="M296" s="340"/>
      <c r="N296" s="340"/>
      <c r="O296" s="340"/>
      <c r="P296" s="340"/>
      <c r="Q296" s="340"/>
      <c r="R296" s="340"/>
      <c r="S296" s="348"/>
      <c r="T296" s="348"/>
      <c r="U296" s="348"/>
      <c r="V296" s="340"/>
      <c r="W296" s="340"/>
      <c r="X296" s="340"/>
      <c r="Y296" s="340"/>
    </row>
    <row r="297" spans="1:25" ht="15" thickBot="1" x14ac:dyDescent="0.3">
      <c r="A297" s="325"/>
      <c r="B297" s="325"/>
      <c r="C297" s="325"/>
      <c r="D297" s="325"/>
      <c r="E297" s="325"/>
      <c r="F297" s="325"/>
      <c r="G297" s="325"/>
      <c r="H297" s="325"/>
      <c r="I297" s="325"/>
      <c r="J297" s="325"/>
      <c r="K297" s="339"/>
      <c r="L297" s="340"/>
      <c r="M297" s="340"/>
      <c r="N297" s="340"/>
      <c r="O297" s="340"/>
      <c r="P297" s="340"/>
      <c r="Q297" s="340"/>
      <c r="R297" s="340"/>
      <c r="S297" s="348"/>
      <c r="T297" s="348"/>
      <c r="U297" s="348"/>
      <c r="V297" s="340"/>
      <c r="W297" s="340"/>
      <c r="X297" s="340"/>
      <c r="Y297" s="340"/>
    </row>
    <row r="298" spans="1:25" ht="15" thickBot="1" x14ac:dyDescent="0.3">
      <c r="A298" s="325"/>
      <c r="B298" s="325"/>
      <c r="C298" s="325"/>
      <c r="D298" s="325"/>
      <c r="E298" s="325"/>
      <c r="F298" s="325"/>
      <c r="G298" s="325"/>
      <c r="H298" s="325"/>
      <c r="I298" s="325"/>
      <c r="J298" s="325"/>
      <c r="K298" s="339"/>
      <c r="L298" s="340"/>
      <c r="M298" s="340"/>
      <c r="N298" s="340"/>
      <c r="O298" s="340"/>
      <c r="P298" s="340"/>
      <c r="Q298" s="340"/>
      <c r="R298" s="340"/>
      <c r="S298" s="348"/>
      <c r="T298" s="348"/>
      <c r="U298" s="348"/>
      <c r="V298" s="340"/>
      <c r="W298" s="340"/>
      <c r="X298" s="340"/>
      <c r="Y298" s="340"/>
    </row>
    <row r="299" spans="1:25" ht="15" thickBot="1" x14ac:dyDescent="0.3">
      <c r="A299" s="325"/>
      <c r="B299" s="325"/>
      <c r="C299" s="325"/>
      <c r="D299" s="325"/>
      <c r="E299" s="325"/>
      <c r="F299" s="325"/>
      <c r="G299" s="325"/>
      <c r="H299" s="325"/>
      <c r="I299" s="325"/>
      <c r="J299" s="325"/>
      <c r="K299" s="339"/>
      <c r="L299" s="340"/>
      <c r="M299" s="340"/>
      <c r="N299" s="340"/>
      <c r="O299" s="340"/>
      <c r="P299" s="340"/>
      <c r="Q299" s="340"/>
      <c r="R299" s="340"/>
      <c r="S299" s="348"/>
      <c r="T299" s="348"/>
      <c r="U299" s="348"/>
      <c r="V299" s="340"/>
      <c r="W299" s="340"/>
      <c r="X299" s="340"/>
      <c r="Y299" s="340"/>
    </row>
    <row r="300" spans="1:25" ht="15" thickBot="1" x14ac:dyDescent="0.3">
      <c r="A300" s="325"/>
      <c r="B300" s="325"/>
      <c r="C300" s="325"/>
      <c r="D300" s="325"/>
      <c r="E300" s="325"/>
      <c r="F300" s="325"/>
      <c r="G300" s="325"/>
      <c r="H300" s="325"/>
      <c r="I300" s="325"/>
      <c r="J300" s="325"/>
      <c r="K300" s="339"/>
      <c r="L300" s="340"/>
      <c r="M300" s="340"/>
      <c r="N300" s="340"/>
      <c r="O300" s="340"/>
      <c r="P300" s="340"/>
      <c r="Q300" s="340"/>
      <c r="R300" s="340"/>
      <c r="S300" s="348"/>
      <c r="T300" s="348"/>
      <c r="U300" s="348"/>
      <c r="V300" s="340"/>
      <c r="W300" s="340"/>
      <c r="X300" s="340"/>
      <c r="Y300" s="340"/>
    </row>
    <row r="301" spans="1:25" ht="15" thickBot="1" x14ac:dyDescent="0.3">
      <c r="A301" s="325"/>
      <c r="B301" s="325"/>
      <c r="C301" s="325"/>
      <c r="D301" s="325"/>
      <c r="E301" s="325"/>
      <c r="F301" s="325"/>
      <c r="G301" s="325"/>
      <c r="H301" s="325"/>
      <c r="I301" s="325"/>
      <c r="J301" s="325"/>
      <c r="K301" s="339"/>
      <c r="L301" s="340"/>
      <c r="M301" s="340"/>
      <c r="N301" s="340"/>
      <c r="O301" s="340"/>
      <c r="P301" s="340"/>
      <c r="Q301" s="340"/>
      <c r="R301" s="340"/>
      <c r="S301" s="348"/>
      <c r="T301" s="348"/>
      <c r="U301" s="348"/>
      <c r="V301" s="340"/>
      <c r="W301" s="340"/>
      <c r="X301" s="340"/>
      <c r="Y301" s="340"/>
    </row>
    <row r="302" spans="1:25" ht="15" thickBot="1" x14ac:dyDescent="0.3">
      <c r="A302" s="325"/>
      <c r="B302" s="325"/>
      <c r="C302" s="325"/>
      <c r="D302" s="325"/>
      <c r="E302" s="325"/>
      <c r="F302" s="325"/>
      <c r="G302" s="325"/>
      <c r="H302" s="325"/>
      <c r="I302" s="325"/>
      <c r="J302" s="325"/>
      <c r="K302" s="339"/>
      <c r="L302" s="340"/>
      <c r="M302" s="340"/>
      <c r="N302" s="340"/>
      <c r="O302" s="340"/>
      <c r="P302" s="340"/>
      <c r="Q302" s="340"/>
      <c r="R302" s="340"/>
      <c r="S302" s="348"/>
      <c r="T302" s="348"/>
      <c r="U302" s="348"/>
      <c r="V302" s="340"/>
      <c r="W302" s="340"/>
      <c r="X302" s="340"/>
      <c r="Y302" s="340"/>
    </row>
    <row r="303" spans="1:25" ht="15" thickBot="1" x14ac:dyDescent="0.3">
      <c r="A303" s="325"/>
      <c r="B303" s="325"/>
      <c r="C303" s="325"/>
      <c r="D303" s="325"/>
      <c r="E303" s="325"/>
      <c r="F303" s="325"/>
      <c r="G303" s="325"/>
      <c r="H303" s="325"/>
      <c r="I303" s="325"/>
      <c r="J303" s="325"/>
      <c r="K303" s="339"/>
      <c r="L303" s="340"/>
      <c r="M303" s="340"/>
      <c r="N303" s="340"/>
      <c r="O303" s="340"/>
      <c r="P303" s="340"/>
      <c r="Q303" s="340"/>
      <c r="R303" s="340"/>
      <c r="S303" s="348"/>
      <c r="T303" s="348"/>
      <c r="U303" s="348"/>
      <c r="V303" s="340"/>
      <c r="W303" s="340"/>
      <c r="X303" s="340"/>
      <c r="Y303" s="340"/>
    </row>
    <row r="304" spans="1:25" ht="15" thickBot="1" x14ac:dyDescent="0.3">
      <c r="A304" s="325"/>
      <c r="B304" s="325"/>
      <c r="C304" s="325"/>
      <c r="D304" s="325"/>
      <c r="E304" s="325"/>
      <c r="F304" s="325"/>
      <c r="G304" s="325"/>
      <c r="H304" s="325"/>
      <c r="I304" s="325"/>
      <c r="J304" s="325"/>
      <c r="K304" s="339"/>
      <c r="L304" s="340"/>
      <c r="M304" s="340"/>
      <c r="N304" s="340"/>
      <c r="O304" s="340"/>
      <c r="P304" s="340"/>
      <c r="Q304" s="340"/>
      <c r="R304" s="340"/>
      <c r="S304" s="348"/>
      <c r="T304" s="348"/>
      <c r="U304" s="348"/>
      <c r="V304" s="340"/>
      <c r="W304" s="340"/>
      <c r="X304" s="340"/>
      <c r="Y304" s="340"/>
    </row>
    <row r="305" spans="1:25" ht="15" thickBot="1" x14ac:dyDescent="0.3">
      <c r="A305" s="325"/>
      <c r="B305" s="325"/>
      <c r="C305" s="325"/>
      <c r="D305" s="325"/>
      <c r="E305" s="325"/>
      <c r="F305" s="325"/>
      <c r="G305" s="325"/>
      <c r="H305" s="325"/>
      <c r="I305" s="325"/>
      <c r="J305" s="325"/>
      <c r="K305" s="339"/>
      <c r="L305" s="340"/>
      <c r="M305" s="340"/>
      <c r="N305" s="340"/>
      <c r="O305" s="340"/>
      <c r="P305" s="340"/>
      <c r="Q305" s="340"/>
      <c r="R305" s="340"/>
      <c r="S305" s="348"/>
      <c r="T305" s="348"/>
      <c r="U305" s="348"/>
      <c r="V305" s="340"/>
      <c r="W305" s="340"/>
      <c r="X305" s="340"/>
      <c r="Y305" s="340"/>
    </row>
    <row r="306" spans="1:25" ht="15" thickBot="1" x14ac:dyDescent="0.3">
      <c r="A306" s="325"/>
      <c r="B306" s="325"/>
      <c r="C306" s="325"/>
      <c r="D306" s="325"/>
      <c r="E306" s="325"/>
      <c r="F306" s="325"/>
      <c r="G306" s="325"/>
      <c r="H306" s="325"/>
      <c r="I306" s="325"/>
      <c r="J306" s="325"/>
      <c r="K306" s="339"/>
      <c r="L306" s="340"/>
      <c r="M306" s="340"/>
      <c r="N306" s="340"/>
      <c r="O306" s="340"/>
      <c r="P306" s="340"/>
      <c r="Q306" s="340"/>
      <c r="R306" s="340"/>
      <c r="S306" s="348"/>
      <c r="T306" s="348"/>
      <c r="U306" s="348"/>
      <c r="V306" s="340"/>
      <c r="W306" s="340"/>
      <c r="X306" s="340"/>
      <c r="Y306" s="340"/>
    </row>
    <row r="307" spans="1:25" ht="15" thickBot="1" x14ac:dyDescent="0.3">
      <c r="A307" s="325"/>
      <c r="B307" s="325"/>
      <c r="C307" s="325"/>
      <c r="D307" s="325"/>
      <c r="E307" s="325"/>
      <c r="F307" s="325"/>
      <c r="G307" s="325"/>
      <c r="H307" s="325"/>
      <c r="I307" s="325"/>
      <c r="J307" s="325"/>
      <c r="K307" s="339"/>
      <c r="L307" s="340"/>
      <c r="M307" s="340"/>
      <c r="N307" s="340"/>
      <c r="O307" s="340"/>
      <c r="P307" s="340"/>
      <c r="Q307" s="340"/>
      <c r="R307" s="340"/>
      <c r="S307" s="348"/>
      <c r="T307" s="348"/>
      <c r="U307" s="348"/>
      <c r="V307" s="340"/>
      <c r="W307" s="340"/>
      <c r="X307" s="340"/>
      <c r="Y307" s="340"/>
    </row>
    <row r="308" spans="1:25" ht="15" thickBot="1" x14ac:dyDescent="0.3">
      <c r="A308" s="325"/>
      <c r="B308" s="325"/>
      <c r="C308" s="325"/>
      <c r="D308" s="325"/>
      <c r="E308" s="325"/>
      <c r="F308" s="325"/>
      <c r="G308" s="325"/>
      <c r="H308" s="325"/>
      <c r="I308" s="325"/>
      <c r="J308" s="325"/>
      <c r="K308" s="339"/>
      <c r="L308" s="340"/>
      <c r="M308" s="340"/>
      <c r="N308" s="340"/>
      <c r="O308" s="340"/>
      <c r="P308" s="340"/>
      <c r="Q308" s="340"/>
      <c r="R308" s="340"/>
      <c r="S308" s="348"/>
      <c r="T308" s="348"/>
      <c r="U308" s="348"/>
      <c r="V308" s="340"/>
      <c r="W308" s="340"/>
      <c r="X308" s="340"/>
      <c r="Y308" s="340"/>
    </row>
    <row r="309" spans="1:25" ht="15" thickBot="1" x14ac:dyDescent="0.3">
      <c r="A309" s="325"/>
      <c r="B309" s="325"/>
      <c r="C309" s="325"/>
      <c r="D309" s="325"/>
      <c r="E309" s="325"/>
      <c r="F309" s="325"/>
      <c r="G309" s="325"/>
      <c r="H309" s="325"/>
      <c r="I309" s="325"/>
      <c r="J309" s="325"/>
      <c r="K309" s="339"/>
      <c r="L309" s="340"/>
      <c r="M309" s="340"/>
      <c r="N309" s="340"/>
      <c r="O309" s="340"/>
      <c r="P309" s="340"/>
      <c r="Q309" s="340"/>
      <c r="R309" s="340"/>
      <c r="S309" s="348"/>
      <c r="T309" s="348"/>
      <c r="U309" s="348"/>
      <c r="V309" s="340"/>
      <c r="W309" s="340"/>
      <c r="X309" s="340"/>
      <c r="Y309" s="340"/>
    </row>
    <row r="310" spans="1:25" ht="15" thickBot="1" x14ac:dyDescent="0.3">
      <c r="A310" s="325"/>
      <c r="B310" s="325"/>
      <c r="C310" s="325"/>
      <c r="D310" s="325"/>
      <c r="E310" s="325"/>
      <c r="F310" s="325"/>
      <c r="G310" s="325"/>
      <c r="H310" s="325"/>
      <c r="I310" s="325"/>
      <c r="J310" s="325"/>
      <c r="K310" s="339"/>
      <c r="L310" s="340"/>
      <c r="M310" s="340"/>
      <c r="N310" s="340"/>
      <c r="O310" s="340"/>
      <c r="P310" s="340"/>
      <c r="Q310" s="340"/>
      <c r="R310" s="340"/>
      <c r="S310" s="348"/>
      <c r="T310" s="348"/>
      <c r="U310" s="348"/>
      <c r="V310" s="340"/>
      <c r="W310" s="340"/>
      <c r="X310" s="340"/>
      <c r="Y310" s="340"/>
    </row>
    <row r="311" spans="1:25" ht="15" thickBot="1" x14ac:dyDescent="0.3">
      <c r="A311" s="325"/>
      <c r="B311" s="325"/>
      <c r="C311" s="325"/>
      <c r="D311" s="325"/>
      <c r="E311" s="325"/>
      <c r="F311" s="325"/>
      <c r="G311" s="325"/>
      <c r="H311" s="325"/>
      <c r="I311" s="325"/>
      <c r="J311" s="325"/>
      <c r="K311" s="339"/>
      <c r="L311" s="340"/>
      <c r="M311" s="340"/>
      <c r="N311" s="340"/>
      <c r="O311" s="340"/>
      <c r="P311" s="340"/>
      <c r="Q311" s="340"/>
      <c r="R311" s="340"/>
      <c r="S311" s="348"/>
      <c r="T311" s="348"/>
      <c r="U311" s="348"/>
      <c r="V311" s="340"/>
      <c r="W311" s="340"/>
      <c r="X311" s="340"/>
      <c r="Y311" s="340"/>
    </row>
    <row r="312" spans="1:25" ht="15" thickBot="1" x14ac:dyDescent="0.3">
      <c r="A312" s="325"/>
      <c r="B312" s="325"/>
      <c r="C312" s="325"/>
      <c r="D312" s="325"/>
      <c r="E312" s="325"/>
      <c r="F312" s="325"/>
      <c r="G312" s="325"/>
      <c r="H312" s="325"/>
      <c r="I312" s="325"/>
      <c r="J312" s="325"/>
      <c r="K312" s="339"/>
      <c r="L312" s="340"/>
      <c r="M312" s="340"/>
      <c r="N312" s="340"/>
      <c r="O312" s="340"/>
      <c r="P312" s="340"/>
      <c r="Q312" s="340"/>
      <c r="R312" s="340"/>
      <c r="S312" s="348"/>
      <c r="T312" s="348"/>
      <c r="U312" s="348"/>
      <c r="V312" s="340"/>
      <c r="W312" s="340"/>
      <c r="X312" s="340"/>
      <c r="Y312" s="340"/>
    </row>
    <row r="313" spans="1:25" ht="15" thickBot="1" x14ac:dyDescent="0.3">
      <c r="A313" s="325"/>
      <c r="B313" s="325"/>
      <c r="C313" s="325"/>
      <c r="D313" s="325"/>
      <c r="E313" s="325"/>
      <c r="F313" s="325"/>
      <c r="G313" s="325"/>
      <c r="H313" s="325"/>
      <c r="I313" s="325"/>
      <c r="J313" s="325"/>
      <c r="K313" s="339"/>
      <c r="L313" s="340"/>
      <c r="M313" s="340"/>
      <c r="N313" s="340"/>
      <c r="O313" s="340"/>
      <c r="P313" s="340"/>
      <c r="Q313" s="340"/>
      <c r="R313" s="340"/>
      <c r="S313" s="348"/>
      <c r="T313" s="348"/>
      <c r="U313" s="348"/>
      <c r="V313" s="340"/>
      <c r="W313" s="340"/>
      <c r="X313" s="340"/>
      <c r="Y313" s="340"/>
    </row>
    <row r="314" spans="1:25" ht="15" thickBot="1" x14ac:dyDescent="0.3">
      <c r="A314" s="325"/>
      <c r="B314" s="325"/>
      <c r="C314" s="325"/>
      <c r="D314" s="325"/>
      <c r="E314" s="325"/>
      <c r="F314" s="325"/>
      <c r="G314" s="325"/>
      <c r="H314" s="325"/>
      <c r="I314" s="325"/>
      <c r="J314" s="325"/>
      <c r="K314" s="339"/>
      <c r="L314" s="340"/>
      <c r="M314" s="340"/>
      <c r="N314" s="340"/>
      <c r="O314" s="340"/>
      <c r="P314" s="340"/>
      <c r="Q314" s="340"/>
      <c r="R314" s="340"/>
      <c r="S314" s="348"/>
      <c r="T314" s="348"/>
      <c r="U314" s="348"/>
      <c r="V314" s="340"/>
      <c r="W314" s="340"/>
      <c r="X314" s="340"/>
      <c r="Y314" s="340"/>
    </row>
    <row r="315" spans="1:25" ht="15" thickBot="1" x14ac:dyDescent="0.3">
      <c r="A315" s="325"/>
      <c r="B315" s="325"/>
      <c r="C315" s="325"/>
      <c r="D315" s="325"/>
      <c r="E315" s="325"/>
      <c r="F315" s="325"/>
      <c r="G315" s="325"/>
      <c r="H315" s="325"/>
      <c r="I315" s="325"/>
      <c r="J315" s="325"/>
      <c r="K315" s="339"/>
      <c r="L315" s="340"/>
      <c r="M315" s="340"/>
      <c r="N315" s="340"/>
      <c r="O315" s="340"/>
      <c r="P315" s="340"/>
      <c r="Q315" s="340"/>
      <c r="R315" s="340"/>
      <c r="S315" s="348"/>
      <c r="T315" s="348"/>
      <c r="U315" s="348"/>
      <c r="V315" s="340"/>
      <c r="W315" s="340"/>
      <c r="X315" s="340"/>
      <c r="Y315" s="340"/>
    </row>
    <row r="316" spans="1:25" ht="15" thickBot="1" x14ac:dyDescent="0.3">
      <c r="A316" s="325"/>
      <c r="B316" s="325"/>
      <c r="C316" s="325"/>
      <c r="D316" s="325"/>
      <c r="E316" s="325"/>
      <c r="F316" s="325"/>
      <c r="G316" s="325"/>
      <c r="H316" s="325"/>
      <c r="I316" s="325"/>
      <c r="J316" s="325"/>
      <c r="K316" s="339"/>
      <c r="L316" s="340"/>
      <c r="M316" s="340"/>
      <c r="N316" s="340"/>
      <c r="O316" s="340"/>
      <c r="P316" s="340"/>
      <c r="Q316" s="340"/>
      <c r="R316" s="340"/>
      <c r="S316" s="348"/>
      <c r="T316" s="348"/>
      <c r="U316" s="348"/>
      <c r="V316" s="340"/>
      <c r="W316" s="340"/>
      <c r="X316" s="340"/>
      <c r="Y316" s="340"/>
    </row>
    <row r="317" spans="1:25" ht="15" thickBot="1" x14ac:dyDescent="0.3">
      <c r="A317" s="325"/>
      <c r="B317" s="325"/>
      <c r="C317" s="325"/>
      <c r="D317" s="325"/>
      <c r="E317" s="325"/>
      <c r="F317" s="325"/>
      <c r="G317" s="325"/>
      <c r="H317" s="325"/>
      <c r="I317" s="325"/>
      <c r="J317" s="325"/>
      <c r="K317" s="339"/>
      <c r="L317" s="340"/>
      <c r="M317" s="340"/>
      <c r="N317" s="340"/>
      <c r="O317" s="340"/>
      <c r="P317" s="340"/>
      <c r="Q317" s="340"/>
      <c r="R317" s="340"/>
      <c r="S317" s="348"/>
      <c r="T317" s="348"/>
      <c r="U317" s="348"/>
      <c r="V317" s="340"/>
      <c r="W317" s="340"/>
      <c r="X317" s="340"/>
      <c r="Y317" s="340"/>
    </row>
    <row r="318" spans="1:25" ht="15" thickBot="1" x14ac:dyDescent="0.3">
      <c r="A318" s="325"/>
      <c r="B318" s="325"/>
      <c r="C318" s="325"/>
      <c r="D318" s="325"/>
      <c r="E318" s="325"/>
      <c r="F318" s="325"/>
      <c r="G318" s="325"/>
      <c r="H318" s="325"/>
      <c r="I318" s="325"/>
      <c r="J318" s="325"/>
      <c r="K318" s="339"/>
      <c r="L318" s="340"/>
      <c r="M318" s="340"/>
      <c r="N318" s="340"/>
      <c r="O318" s="340"/>
      <c r="P318" s="340"/>
      <c r="Q318" s="340"/>
      <c r="R318" s="340"/>
      <c r="S318" s="348"/>
      <c r="T318" s="348"/>
      <c r="U318" s="348"/>
      <c r="V318" s="340"/>
      <c r="W318" s="340"/>
      <c r="X318" s="340"/>
      <c r="Y318" s="340"/>
    </row>
    <row r="319" spans="1:25" ht="15" thickBot="1" x14ac:dyDescent="0.3">
      <c r="A319" s="325"/>
      <c r="B319" s="325"/>
      <c r="C319" s="325"/>
      <c r="D319" s="325"/>
      <c r="E319" s="325"/>
      <c r="F319" s="325"/>
      <c r="G319" s="325"/>
      <c r="H319" s="325"/>
      <c r="I319" s="325"/>
      <c r="J319" s="325"/>
      <c r="K319" s="339"/>
      <c r="L319" s="340"/>
      <c r="M319" s="340"/>
      <c r="N319" s="340"/>
      <c r="O319" s="340"/>
      <c r="P319" s="340"/>
      <c r="Q319" s="340"/>
      <c r="R319" s="340"/>
      <c r="S319" s="348"/>
      <c r="T319" s="348"/>
      <c r="U319" s="348"/>
      <c r="V319" s="340"/>
      <c r="W319" s="340"/>
      <c r="X319" s="340"/>
      <c r="Y319" s="340"/>
    </row>
    <row r="320" spans="1:25" ht="15" thickBot="1" x14ac:dyDescent="0.3">
      <c r="A320" s="325"/>
      <c r="B320" s="325"/>
      <c r="C320" s="325"/>
      <c r="D320" s="325"/>
      <c r="E320" s="325"/>
      <c r="F320" s="325"/>
      <c r="G320" s="325"/>
      <c r="H320" s="325"/>
      <c r="I320" s="325"/>
      <c r="J320" s="325"/>
      <c r="K320" s="339"/>
      <c r="L320" s="340"/>
      <c r="M320" s="340"/>
      <c r="N320" s="340"/>
      <c r="O320" s="340"/>
      <c r="P320" s="340"/>
      <c r="Q320" s="340"/>
      <c r="R320" s="340"/>
      <c r="S320" s="348"/>
      <c r="T320" s="348"/>
      <c r="U320" s="348"/>
      <c r="V320" s="340"/>
      <c r="W320" s="340"/>
      <c r="X320" s="340"/>
      <c r="Y320" s="340"/>
    </row>
    <row r="321" spans="1:25" ht="15" thickBot="1" x14ac:dyDescent="0.3">
      <c r="A321" s="325"/>
      <c r="B321" s="325"/>
      <c r="C321" s="325"/>
      <c r="D321" s="325"/>
      <c r="E321" s="325"/>
      <c r="F321" s="325"/>
      <c r="G321" s="325"/>
      <c r="H321" s="325"/>
      <c r="I321" s="325"/>
      <c r="J321" s="325"/>
      <c r="K321" s="339"/>
      <c r="L321" s="340"/>
      <c r="M321" s="340"/>
      <c r="N321" s="340"/>
      <c r="O321" s="340"/>
      <c r="P321" s="340"/>
      <c r="Q321" s="340"/>
      <c r="R321" s="340"/>
      <c r="S321" s="348"/>
      <c r="T321" s="348"/>
      <c r="U321" s="348"/>
      <c r="V321" s="340"/>
      <c r="W321" s="340"/>
      <c r="X321" s="340"/>
      <c r="Y321" s="340"/>
    </row>
    <row r="322" spans="1:25" ht="15" thickBot="1" x14ac:dyDescent="0.3">
      <c r="A322" s="325"/>
      <c r="B322" s="325"/>
      <c r="C322" s="325"/>
      <c r="D322" s="325"/>
      <c r="E322" s="325"/>
      <c r="F322" s="325"/>
      <c r="G322" s="325"/>
      <c r="H322" s="325"/>
      <c r="I322" s="325"/>
      <c r="J322" s="325"/>
      <c r="K322" s="339"/>
      <c r="L322" s="340"/>
      <c r="M322" s="340"/>
      <c r="N322" s="340"/>
      <c r="O322" s="340"/>
      <c r="P322" s="340"/>
      <c r="Q322" s="340"/>
      <c r="R322" s="340"/>
      <c r="S322" s="348"/>
      <c r="T322" s="348"/>
      <c r="U322" s="348"/>
      <c r="V322" s="340"/>
      <c r="W322" s="340"/>
      <c r="X322" s="340"/>
      <c r="Y322" s="340"/>
    </row>
    <row r="323" spans="1:25" ht="15" thickBot="1" x14ac:dyDescent="0.3">
      <c r="A323" s="325"/>
      <c r="B323" s="325"/>
      <c r="C323" s="325"/>
      <c r="D323" s="325"/>
      <c r="E323" s="325"/>
      <c r="F323" s="325"/>
      <c r="G323" s="325"/>
      <c r="H323" s="325"/>
      <c r="I323" s="325"/>
      <c r="J323" s="325"/>
      <c r="K323" s="339"/>
      <c r="L323" s="340"/>
      <c r="M323" s="340"/>
      <c r="N323" s="340"/>
      <c r="O323" s="340"/>
      <c r="P323" s="340"/>
      <c r="Q323" s="340"/>
      <c r="R323" s="340"/>
      <c r="S323" s="348"/>
      <c r="T323" s="348"/>
      <c r="U323" s="348"/>
      <c r="V323" s="340"/>
      <c r="W323" s="340"/>
      <c r="X323" s="340"/>
      <c r="Y323" s="340"/>
    </row>
    <row r="324" spans="1:25" ht="15" thickBot="1" x14ac:dyDescent="0.3">
      <c r="A324" s="325"/>
      <c r="B324" s="325"/>
      <c r="C324" s="325"/>
      <c r="D324" s="325"/>
      <c r="E324" s="325"/>
      <c r="F324" s="325"/>
      <c r="G324" s="325"/>
      <c r="H324" s="325"/>
      <c r="I324" s="325"/>
      <c r="J324" s="325"/>
      <c r="K324" s="339"/>
      <c r="L324" s="340"/>
      <c r="M324" s="340"/>
      <c r="N324" s="340"/>
      <c r="O324" s="340"/>
      <c r="P324" s="340"/>
      <c r="Q324" s="340"/>
      <c r="R324" s="340"/>
      <c r="S324" s="348"/>
      <c r="T324" s="348"/>
      <c r="U324" s="348"/>
      <c r="V324" s="340"/>
      <c r="W324" s="340"/>
      <c r="X324" s="340"/>
      <c r="Y324" s="340"/>
    </row>
    <row r="325" spans="1:25" ht="15" thickBot="1" x14ac:dyDescent="0.3">
      <c r="A325" s="325"/>
      <c r="B325" s="325"/>
      <c r="C325" s="325"/>
      <c r="D325" s="325"/>
      <c r="E325" s="325"/>
      <c r="F325" s="325"/>
      <c r="G325" s="325"/>
      <c r="H325" s="325"/>
      <c r="I325" s="325"/>
      <c r="J325" s="325"/>
      <c r="K325" s="339"/>
      <c r="L325" s="340"/>
      <c r="M325" s="340"/>
      <c r="N325" s="340"/>
      <c r="O325" s="340"/>
      <c r="P325" s="340"/>
      <c r="Q325" s="340"/>
      <c r="R325" s="340"/>
      <c r="S325" s="348"/>
      <c r="T325" s="348"/>
      <c r="U325" s="348"/>
      <c r="V325" s="340"/>
      <c r="W325" s="340"/>
      <c r="X325" s="340"/>
      <c r="Y325" s="340"/>
    </row>
    <row r="326" spans="1:25" ht="15" thickBot="1" x14ac:dyDescent="0.3">
      <c r="A326" s="325"/>
      <c r="B326" s="325"/>
      <c r="C326" s="325"/>
      <c r="D326" s="325"/>
      <c r="E326" s="325"/>
      <c r="F326" s="325"/>
      <c r="G326" s="325"/>
      <c r="H326" s="325"/>
      <c r="I326" s="325"/>
      <c r="J326" s="325"/>
      <c r="K326" s="339"/>
      <c r="L326" s="340"/>
      <c r="M326" s="340"/>
      <c r="N326" s="340"/>
      <c r="O326" s="340"/>
      <c r="P326" s="340"/>
      <c r="Q326" s="340"/>
      <c r="R326" s="340"/>
      <c r="S326" s="348"/>
      <c r="T326" s="348"/>
      <c r="U326" s="348"/>
      <c r="V326" s="340"/>
      <c r="W326" s="340"/>
      <c r="X326" s="340"/>
      <c r="Y326" s="340"/>
    </row>
    <row r="327" spans="1:25" ht="15" thickBot="1" x14ac:dyDescent="0.3">
      <c r="A327" s="325"/>
      <c r="B327" s="325"/>
      <c r="C327" s="325"/>
      <c r="D327" s="325"/>
      <c r="E327" s="325"/>
      <c r="F327" s="325"/>
      <c r="G327" s="325"/>
      <c r="H327" s="325"/>
      <c r="I327" s="325"/>
      <c r="J327" s="325"/>
      <c r="K327" s="339"/>
      <c r="L327" s="340"/>
      <c r="M327" s="340"/>
      <c r="N327" s="340"/>
      <c r="O327" s="340"/>
      <c r="P327" s="340"/>
      <c r="Q327" s="340"/>
      <c r="R327" s="340"/>
      <c r="S327" s="348"/>
      <c r="T327" s="348"/>
      <c r="U327" s="348"/>
      <c r="V327" s="340"/>
      <c r="W327" s="340"/>
      <c r="X327" s="340"/>
      <c r="Y327" s="340"/>
    </row>
    <row r="328" spans="1:25" ht="15" thickBot="1" x14ac:dyDescent="0.3">
      <c r="A328" s="325"/>
      <c r="B328" s="325"/>
      <c r="C328" s="325"/>
      <c r="D328" s="325"/>
      <c r="E328" s="325"/>
      <c r="F328" s="325"/>
      <c r="G328" s="325"/>
      <c r="H328" s="325"/>
      <c r="I328" s="325"/>
      <c r="J328" s="325"/>
      <c r="K328" s="339"/>
      <c r="L328" s="340"/>
      <c r="M328" s="340"/>
      <c r="N328" s="340"/>
      <c r="O328" s="340"/>
      <c r="P328" s="340"/>
      <c r="Q328" s="340"/>
      <c r="R328" s="340"/>
      <c r="S328" s="348"/>
      <c r="T328" s="348"/>
      <c r="U328" s="348"/>
      <c r="V328" s="340"/>
      <c r="W328" s="340"/>
      <c r="X328" s="340"/>
      <c r="Y328" s="340"/>
    </row>
    <row r="329" spans="1:25" ht="15" thickBot="1" x14ac:dyDescent="0.3">
      <c r="A329" s="325"/>
      <c r="B329" s="325"/>
      <c r="C329" s="325"/>
      <c r="D329" s="325"/>
      <c r="E329" s="325"/>
      <c r="F329" s="325"/>
      <c r="G329" s="325"/>
      <c r="H329" s="325"/>
      <c r="I329" s="325"/>
      <c r="J329" s="325"/>
      <c r="K329" s="339"/>
      <c r="L329" s="340"/>
      <c r="M329" s="340"/>
      <c r="N329" s="340"/>
      <c r="O329" s="340"/>
      <c r="P329" s="340"/>
      <c r="Q329" s="340"/>
      <c r="R329" s="340"/>
      <c r="S329" s="348"/>
      <c r="T329" s="348"/>
      <c r="U329" s="348"/>
      <c r="V329" s="340"/>
      <c r="W329" s="340"/>
      <c r="X329" s="340"/>
      <c r="Y329" s="340"/>
    </row>
    <row r="330" spans="1:25" ht="15" thickBot="1" x14ac:dyDescent="0.3">
      <c r="A330" s="325"/>
      <c r="B330" s="325"/>
      <c r="C330" s="325"/>
      <c r="D330" s="325"/>
      <c r="E330" s="325"/>
      <c r="F330" s="325"/>
      <c r="G330" s="325"/>
      <c r="H330" s="325"/>
      <c r="I330" s="325"/>
      <c r="J330" s="325"/>
      <c r="K330" s="339"/>
      <c r="L330" s="340"/>
      <c r="M330" s="340"/>
      <c r="N330" s="340"/>
      <c r="O330" s="340"/>
      <c r="P330" s="340"/>
      <c r="Q330" s="340"/>
      <c r="R330" s="340"/>
      <c r="S330" s="348"/>
      <c r="T330" s="348"/>
      <c r="U330" s="348"/>
      <c r="V330" s="340"/>
      <c r="W330" s="340"/>
      <c r="X330" s="340"/>
      <c r="Y330" s="340"/>
    </row>
    <row r="331" spans="1:25" ht="15" thickBot="1" x14ac:dyDescent="0.3">
      <c r="A331" s="325"/>
      <c r="B331" s="325"/>
      <c r="C331" s="325"/>
      <c r="D331" s="325"/>
      <c r="E331" s="325"/>
      <c r="F331" s="325"/>
      <c r="G331" s="325"/>
      <c r="H331" s="325"/>
      <c r="I331" s="325"/>
      <c r="J331" s="325"/>
      <c r="K331" s="339"/>
      <c r="L331" s="340"/>
      <c r="M331" s="340"/>
      <c r="N331" s="340"/>
      <c r="O331" s="340"/>
      <c r="P331" s="340"/>
      <c r="Q331" s="340"/>
      <c r="R331" s="340"/>
      <c r="S331" s="348"/>
      <c r="T331" s="348"/>
      <c r="U331" s="348"/>
      <c r="V331" s="340"/>
      <c r="W331" s="340"/>
      <c r="X331" s="340"/>
      <c r="Y331" s="340"/>
    </row>
    <row r="332" spans="1:25" ht="15" thickBot="1" x14ac:dyDescent="0.3">
      <c r="A332" s="325"/>
      <c r="B332" s="325"/>
      <c r="C332" s="325"/>
      <c r="D332" s="325"/>
      <c r="E332" s="325"/>
      <c r="F332" s="325"/>
      <c r="G332" s="325"/>
      <c r="H332" s="325"/>
      <c r="I332" s="325"/>
      <c r="J332" s="325"/>
      <c r="K332" s="339"/>
      <c r="L332" s="340"/>
      <c r="M332" s="340"/>
      <c r="N332" s="340"/>
      <c r="O332" s="340"/>
      <c r="P332" s="340"/>
      <c r="Q332" s="340"/>
      <c r="R332" s="340"/>
      <c r="S332" s="348"/>
      <c r="T332" s="348"/>
      <c r="U332" s="348"/>
      <c r="V332" s="340"/>
      <c r="W332" s="340"/>
      <c r="X332" s="340"/>
      <c r="Y332" s="340"/>
    </row>
    <row r="333" spans="1:25" ht="15" thickBot="1" x14ac:dyDescent="0.3">
      <c r="A333" s="325"/>
      <c r="B333" s="325"/>
      <c r="C333" s="325"/>
      <c r="D333" s="325"/>
      <c r="E333" s="325"/>
      <c r="F333" s="325"/>
      <c r="G333" s="325"/>
      <c r="H333" s="325"/>
      <c r="I333" s="325"/>
      <c r="J333" s="325"/>
      <c r="K333" s="339"/>
      <c r="L333" s="340"/>
      <c r="M333" s="340"/>
      <c r="N333" s="340"/>
      <c r="O333" s="340"/>
      <c r="P333" s="340"/>
      <c r="Q333" s="340"/>
      <c r="R333" s="340"/>
      <c r="S333" s="348"/>
      <c r="T333" s="348"/>
      <c r="U333" s="348"/>
      <c r="V333" s="340"/>
      <c r="W333" s="340"/>
      <c r="X333" s="340"/>
      <c r="Y333" s="340"/>
    </row>
    <row r="334" spans="1:25" ht="15" thickBot="1" x14ac:dyDescent="0.3">
      <c r="A334" s="325"/>
      <c r="B334" s="325"/>
      <c r="C334" s="325"/>
      <c r="D334" s="325"/>
      <c r="E334" s="325"/>
      <c r="F334" s="325"/>
      <c r="G334" s="325"/>
      <c r="H334" s="325"/>
      <c r="I334" s="325"/>
      <c r="J334" s="325"/>
      <c r="K334" s="339"/>
      <c r="L334" s="340"/>
      <c r="M334" s="340"/>
      <c r="N334" s="340"/>
      <c r="O334" s="340"/>
      <c r="P334" s="340"/>
      <c r="Q334" s="340"/>
      <c r="R334" s="340"/>
      <c r="S334" s="348"/>
      <c r="T334" s="348"/>
      <c r="U334" s="348"/>
      <c r="V334" s="340"/>
      <c r="W334" s="340"/>
      <c r="X334" s="340"/>
      <c r="Y334" s="340"/>
    </row>
    <row r="335" spans="1:25" ht="15" thickBot="1" x14ac:dyDescent="0.3">
      <c r="A335" s="325"/>
      <c r="B335" s="325"/>
      <c r="C335" s="325"/>
      <c r="D335" s="325"/>
      <c r="E335" s="325"/>
      <c r="F335" s="325"/>
      <c r="G335" s="325"/>
      <c r="H335" s="325"/>
      <c r="I335" s="325"/>
      <c r="J335" s="325"/>
      <c r="K335" s="339"/>
      <c r="L335" s="340"/>
      <c r="M335" s="340"/>
      <c r="N335" s="340"/>
      <c r="O335" s="340"/>
      <c r="P335" s="340"/>
      <c r="Q335" s="340"/>
      <c r="R335" s="340"/>
      <c r="S335" s="348"/>
      <c r="T335" s="348"/>
      <c r="U335" s="348"/>
      <c r="V335" s="340"/>
      <c r="W335" s="340"/>
      <c r="X335" s="340"/>
      <c r="Y335" s="340"/>
    </row>
    <row r="336" spans="1:25" ht="15" thickBot="1" x14ac:dyDescent="0.3">
      <c r="A336" s="325"/>
      <c r="B336" s="325"/>
      <c r="C336" s="325"/>
      <c r="D336" s="325"/>
      <c r="E336" s="325"/>
      <c r="F336" s="325"/>
      <c r="G336" s="325"/>
      <c r="H336" s="325"/>
      <c r="I336" s="325"/>
      <c r="J336" s="325"/>
      <c r="K336" s="339"/>
      <c r="L336" s="340"/>
      <c r="M336" s="340"/>
      <c r="N336" s="340"/>
      <c r="O336" s="340"/>
      <c r="P336" s="340"/>
      <c r="Q336" s="340"/>
      <c r="R336" s="340"/>
      <c r="S336" s="348"/>
      <c r="T336" s="348"/>
      <c r="U336" s="348"/>
      <c r="V336" s="340"/>
      <c r="W336" s="340"/>
      <c r="X336" s="340"/>
      <c r="Y336" s="340"/>
    </row>
    <row r="337" spans="1:25" ht="15" thickBot="1" x14ac:dyDescent="0.3">
      <c r="A337" s="325"/>
      <c r="B337" s="325"/>
      <c r="C337" s="325"/>
      <c r="D337" s="325"/>
      <c r="E337" s="325"/>
      <c r="F337" s="325"/>
      <c r="G337" s="325"/>
      <c r="H337" s="325"/>
      <c r="I337" s="325"/>
      <c r="J337" s="325"/>
      <c r="K337" s="339"/>
      <c r="L337" s="340"/>
      <c r="M337" s="340"/>
      <c r="N337" s="340"/>
      <c r="O337" s="340"/>
      <c r="P337" s="340"/>
      <c r="Q337" s="340"/>
      <c r="R337" s="340"/>
      <c r="S337" s="348"/>
      <c r="T337" s="348"/>
      <c r="U337" s="348"/>
      <c r="V337" s="340"/>
      <c r="W337" s="340"/>
      <c r="X337" s="340"/>
      <c r="Y337" s="340"/>
    </row>
    <row r="338" spans="1:25" ht="15" thickBot="1" x14ac:dyDescent="0.3">
      <c r="A338" s="325"/>
      <c r="B338" s="325"/>
      <c r="C338" s="325"/>
      <c r="D338" s="325"/>
      <c r="E338" s="325"/>
      <c r="F338" s="325"/>
      <c r="G338" s="325"/>
      <c r="H338" s="325"/>
      <c r="I338" s="325"/>
      <c r="J338" s="325"/>
      <c r="K338" s="339"/>
      <c r="L338" s="340"/>
      <c r="M338" s="340"/>
      <c r="N338" s="340"/>
      <c r="O338" s="340"/>
      <c r="P338" s="340"/>
      <c r="Q338" s="340"/>
      <c r="R338" s="340"/>
      <c r="S338" s="348"/>
      <c r="T338" s="348"/>
      <c r="U338" s="348"/>
      <c r="V338" s="340"/>
      <c r="W338" s="340"/>
      <c r="X338" s="340"/>
      <c r="Y338" s="340"/>
    </row>
    <row r="339" spans="1:25" ht="15" thickBot="1" x14ac:dyDescent="0.3">
      <c r="A339" s="325"/>
      <c r="B339" s="325"/>
      <c r="C339" s="325"/>
      <c r="D339" s="325"/>
      <c r="E339" s="325"/>
      <c r="F339" s="325"/>
      <c r="G339" s="325"/>
      <c r="H339" s="325"/>
      <c r="I339" s="325"/>
      <c r="J339" s="325"/>
      <c r="K339" s="339"/>
      <c r="L339" s="340"/>
      <c r="M339" s="340"/>
      <c r="N339" s="340"/>
      <c r="O339" s="340"/>
      <c r="P339" s="340"/>
      <c r="Q339" s="340"/>
      <c r="R339" s="340"/>
      <c r="S339" s="348"/>
      <c r="T339" s="348"/>
      <c r="U339" s="348"/>
      <c r="V339" s="340"/>
      <c r="W339" s="340"/>
      <c r="X339" s="340"/>
      <c r="Y339" s="340"/>
    </row>
    <row r="340" spans="1:25" ht="15" thickBot="1" x14ac:dyDescent="0.3">
      <c r="A340" s="325"/>
      <c r="B340" s="325"/>
      <c r="C340" s="325"/>
      <c r="D340" s="325"/>
      <c r="E340" s="325"/>
      <c r="F340" s="325"/>
      <c r="G340" s="325"/>
      <c r="H340" s="325"/>
      <c r="I340" s="325"/>
      <c r="J340" s="325"/>
      <c r="K340" s="339"/>
      <c r="L340" s="340"/>
      <c r="M340" s="340"/>
      <c r="N340" s="340"/>
      <c r="O340" s="340"/>
      <c r="P340" s="340"/>
      <c r="Q340" s="340"/>
      <c r="R340" s="340"/>
      <c r="S340" s="348"/>
      <c r="T340" s="348"/>
      <c r="U340" s="348"/>
      <c r="V340" s="340"/>
      <c r="W340" s="340"/>
      <c r="X340" s="340"/>
      <c r="Y340" s="340"/>
    </row>
    <row r="341" spans="1:25" ht="15" thickBot="1" x14ac:dyDescent="0.3">
      <c r="A341" s="325"/>
      <c r="B341" s="325"/>
      <c r="C341" s="325"/>
      <c r="D341" s="325"/>
      <c r="E341" s="325"/>
      <c r="F341" s="325"/>
      <c r="G341" s="325"/>
      <c r="H341" s="325"/>
      <c r="I341" s="325"/>
      <c r="J341" s="325"/>
      <c r="K341" s="339"/>
      <c r="L341" s="340"/>
      <c r="M341" s="340"/>
      <c r="N341" s="340"/>
      <c r="O341" s="340"/>
      <c r="P341" s="340"/>
      <c r="Q341" s="340"/>
      <c r="R341" s="340"/>
      <c r="S341" s="348"/>
      <c r="T341" s="348"/>
      <c r="U341" s="348"/>
      <c r="V341" s="340"/>
      <c r="W341" s="340"/>
      <c r="X341" s="340"/>
      <c r="Y341" s="340"/>
    </row>
    <row r="342" spans="1:25" ht="15" thickBot="1" x14ac:dyDescent="0.3">
      <c r="A342" s="325"/>
      <c r="B342" s="325"/>
      <c r="C342" s="325"/>
      <c r="D342" s="325"/>
      <c r="E342" s="325"/>
      <c r="F342" s="325"/>
      <c r="G342" s="325"/>
      <c r="H342" s="325"/>
      <c r="I342" s="325"/>
      <c r="J342" s="325"/>
      <c r="K342" s="339"/>
      <c r="L342" s="340"/>
      <c r="M342" s="340"/>
      <c r="N342" s="340"/>
      <c r="O342" s="340"/>
      <c r="P342" s="340"/>
      <c r="Q342" s="340"/>
      <c r="R342" s="340"/>
      <c r="S342" s="348"/>
      <c r="T342" s="348"/>
      <c r="U342" s="348"/>
      <c r="V342" s="340"/>
      <c r="W342" s="340"/>
      <c r="X342" s="340"/>
      <c r="Y342" s="340"/>
    </row>
    <row r="343" spans="1:25" ht="15" thickBot="1" x14ac:dyDescent="0.3">
      <c r="A343" s="325"/>
      <c r="B343" s="325"/>
      <c r="C343" s="325"/>
      <c r="D343" s="325"/>
      <c r="E343" s="325"/>
      <c r="F343" s="325"/>
      <c r="G343" s="325"/>
      <c r="H343" s="325"/>
      <c r="I343" s="325"/>
      <c r="J343" s="325"/>
      <c r="K343" s="339"/>
      <c r="L343" s="340"/>
      <c r="M343" s="340"/>
      <c r="N343" s="340"/>
      <c r="O343" s="340"/>
      <c r="P343" s="340"/>
      <c r="Q343" s="340"/>
      <c r="R343" s="340"/>
      <c r="S343" s="348"/>
      <c r="T343" s="348"/>
      <c r="U343" s="348"/>
      <c r="V343" s="340"/>
      <c r="W343" s="340"/>
      <c r="X343" s="340"/>
      <c r="Y343" s="340"/>
    </row>
    <row r="344" spans="1:25" ht="15" thickBot="1" x14ac:dyDescent="0.3">
      <c r="A344" s="325"/>
      <c r="B344" s="325"/>
      <c r="C344" s="325"/>
      <c r="D344" s="325"/>
      <c r="E344" s="325"/>
      <c r="F344" s="325"/>
      <c r="G344" s="325"/>
      <c r="H344" s="325"/>
      <c r="I344" s="325"/>
      <c r="J344" s="325"/>
      <c r="K344" s="339"/>
      <c r="L344" s="340"/>
      <c r="M344" s="340"/>
      <c r="N344" s="340"/>
      <c r="O344" s="340"/>
      <c r="P344" s="340"/>
      <c r="Q344" s="340"/>
      <c r="R344" s="340"/>
      <c r="S344" s="348"/>
      <c r="T344" s="348"/>
      <c r="U344" s="348"/>
      <c r="V344" s="340"/>
      <c r="W344" s="340"/>
      <c r="X344" s="340"/>
      <c r="Y344" s="340"/>
    </row>
    <row r="345" spans="1:25" ht="15" thickBot="1" x14ac:dyDescent="0.3">
      <c r="A345" s="325"/>
      <c r="B345" s="325"/>
      <c r="C345" s="325"/>
      <c r="D345" s="325"/>
      <c r="E345" s="325"/>
      <c r="F345" s="325"/>
      <c r="G345" s="325"/>
      <c r="H345" s="325"/>
      <c r="I345" s="325"/>
      <c r="J345" s="325"/>
      <c r="K345" s="339"/>
      <c r="L345" s="340"/>
      <c r="M345" s="340"/>
      <c r="N345" s="340"/>
      <c r="O345" s="340"/>
      <c r="P345" s="340"/>
      <c r="Q345" s="340"/>
      <c r="R345" s="340"/>
      <c r="S345" s="348"/>
      <c r="T345" s="348"/>
      <c r="U345" s="348"/>
      <c r="V345" s="340"/>
      <c r="W345" s="340"/>
      <c r="X345" s="340"/>
      <c r="Y345" s="340"/>
    </row>
    <row r="346" spans="1:25" ht="15" thickBot="1" x14ac:dyDescent="0.3">
      <c r="A346" s="325"/>
      <c r="B346" s="325"/>
      <c r="C346" s="325"/>
      <c r="D346" s="325"/>
      <c r="E346" s="325"/>
      <c r="F346" s="325"/>
      <c r="G346" s="325"/>
      <c r="H346" s="325"/>
      <c r="I346" s="325"/>
      <c r="J346" s="325"/>
      <c r="K346" s="339"/>
      <c r="L346" s="340"/>
      <c r="M346" s="340"/>
      <c r="N346" s="340"/>
      <c r="O346" s="340"/>
      <c r="P346" s="340"/>
      <c r="Q346" s="340"/>
      <c r="R346" s="340"/>
      <c r="S346" s="348"/>
      <c r="T346" s="348"/>
      <c r="U346" s="348"/>
      <c r="V346" s="340"/>
      <c r="W346" s="340"/>
      <c r="X346" s="340"/>
      <c r="Y346" s="340"/>
    </row>
    <row r="347" spans="1:25" ht="15" thickBot="1" x14ac:dyDescent="0.3">
      <c r="A347" s="325"/>
      <c r="B347" s="325"/>
      <c r="C347" s="325"/>
      <c r="D347" s="325"/>
      <c r="E347" s="325"/>
      <c r="F347" s="325"/>
      <c r="G347" s="325"/>
      <c r="H347" s="325"/>
      <c r="I347" s="325"/>
      <c r="J347" s="325"/>
      <c r="K347" s="339"/>
      <c r="L347" s="340"/>
      <c r="M347" s="340"/>
      <c r="N347" s="340"/>
      <c r="O347" s="340"/>
      <c r="P347" s="340"/>
      <c r="Q347" s="340"/>
      <c r="R347" s="340"/>
      <c r="S347" s="348"/>
      <c r="T347" s="348"/>
      <c r="U347" s="348"/>
      <c r="V347" s="340"/>
      <c r="W347" s="340"/>
      <c r="X347" s="340"/>
      <c r="Y347" s="340"/>
    </row>
    <row r="348" spans="1:25" ht="15" thickBot="1" x14ac:dyDescent="0.3">
      <c r="A348" s="325"/>
      <c r="B348" s="325"/>
      <c r="C348" s="325"/>
      <c r="D348" s="325"/>
      <c r="E348" s="325"/>
      <c r="F348" s="325"/>
      <c r="G348" s="325"/>
      <c r="H348" s="325"/>
      <c r="I348" s="325"/>
      <c r="J348" s="325"/>
      <c r="K348" s="339"/>
      <c r="L348" s="340"/>
      <c r="M348" s="340"/>
      <c r="N348" s="340"/>
      <c r="O348" s="340"/>
      <c r="P348" s="340"/>
      <c r="Q348" s="340"/>
      <c r="R348" s="340"/>
      <c r="S348" s="348"/>
      <c r="T348" s="348"/>
      <c r="U348" s="348"/>
      <c r="V348" s="340"/>
      <c r="W348" s="340"/>
      <c r="X348" s="340"/>
      <c r="Y348" s="340"/>
    </row>
    <row r="349" spans="1:25" ht="15" thickBot="1" x14ac:dyDescent="0.3">
      <c r="A349" s="325"/>
      <c r="B349" s="325"/>
      <c r="C349" s="325"/>
      <c r="D349" s="325"/>
      <c r="E349" s="325"/>
      <c r="F349" s="325"/>
      <c r="G349" s="325"/>
      <c r="H349" s="325"/>
      <c r="I349" s="325"/>
      <c r="J349" s="325"/>
      <c r="K349" s="339"/>
      <c r="L349" s="340"/>
      <c r="M349" s="340"/>
      <c r="N349" s="340"/>
      <c r="O349" s="340"/>
      <c r="P349" s="340"/>
      <c r="Q349" s="340"/>
      <c r="R349" s="340"/>
      <c r="S349" s="348"/>
      <c r="T349" s="348"/>
      <c r="U349" s="348"/>
      <c r="V349" s="340"/>
      <c r="W349" s="340"/>
      <c r="X349" s="340"/>
      <c r="Y349" s="340"/>
    </row>
    <row r="350" spans="1:25" ht="15" thickBot="1" x14ac:dyDescent="0.3">
      <c r="A350" s="325"/>
      <c r="B350" s="325"/>
      <c r="C350" s="325"/>
      <c r="D350" s="325"/>
      <c r="E350" s="325"/>
      <c r="F350" s="325"/>
      <c r="G350" s="325"/>
      <c r="H350" s="325"/>
      <c r="I350" s="325"/>
      <c r="J350" s="325"/>
      <c r="K350" s="339"/>
      <c r="L350" s="340"/>
      <c r="M350" s="340"/>
      <c r="N350" s="340"/>
      <c r="O350" s="340"/>
      <c r="P350" s="340"/>
      <c r="Q350" s="340"/>
      <c r="R350" s="340"/>
      <c r="S350" s="348"/>
      <c r="T350" s="348"/>
      <c r="U350" s="348"/>
      <c r="V350" s="340"/>
      <c r="W350" s="340"/>
      <c r="X350" s="340"/>
      <c r="Y350" s="340"/>
    </row>
    <row r="351" spans="1:25" ht="15" thickBot="1" x14ac:dyDescent="0.3">
      <c r="A351" s="325"/>
      <c r="B351" s="325"/>
      <c r="C351" s="325"/>
      <c r="D351" s="325"/>
      <c r="E351" s="325"/>
      <c r="F351" s="325"/>
      <c r="G351" s="325"/>
      <c r="H351" s="325"/>
      <c r="I351" s="325"/>
      <c r="J351" s="325"/>
      <c r="K351" s="339"/>
      <c r="L351" s="340"/>
      <c r="M351" s="340"/>
      <c r="N351" s="340"/>
      <c r="O351" s="340"/>
      <c r="P351" s="340"/>
      <c r="Q351" s="340"/>
      <c r="R351" s="340"/>
      <c r="S351" s="348"/>
      <c r="T351" s="348"/>
      <c r="U351" s="348"/>
      <c r="V351" s="340"/>
      <c r="W351" s="340"/>
      <c r="X351" s="340"/>
      <c r="Y351" s="340"/>
    </row>
    <row r="352" spans="1:25" ht="15" thickBot="1" x14ac:dyDescent="0.3">
      <c r="A352" s="325"/>
      <c r="B352" s="325"/>
      <c r="C352" s="325"/>
      <c r="D352" s="325"/>
      <c r="E352" s="325"/>
      <c r="F352" s="325"/>
      <c r="G352" s="325"/>
      <c r="H352" s="325"/>
      <c r="I352" s="325"/>
      <c r="J352" s="325"/>
      <c r="K352" s="339"/>
      <c r="L352" s="340"/>
      <c r="M352" s="340"/>
      <c r="N352" s="340"/>
      <c r="O352" s="340"/>
      <c r="P352" s="340"/>
      <c r="Q352" s="340"/>
      <c r="R352" s="340"/>
      <c r="S352" s="348"/>
      <c r="T352" s="348"/>
      <c r="U352" s="348"/>
      <c r="V352" s="340"/>
      <c r="W352" s="340"/>
      <c r="X352" s="340"/>
      <c r="Y352" s="340"/>
    </row>
    <row r="353" spans="1:25" ht="15" thickBot="1" x14ac:dyDescent="0.3">
      <c r="A353" s="325"/>
      <c r="B353" s="325"/>
      <c r="C353" s="325"/>
      <c r="D353" s="325"/>
      <c r="E353" s="325"/>
      <c r="F353" s="325"/>
      <c r="G353" s="325"/>
      <c r="H353" s="325"/>
      <c r="I353" s="325"/>
      <c r="J353" s="325"/>
      <c r="K353" s="339"/>
      <c r="L353" s="340"/>
      <c r="M353" s="340"/>
      <c r="N353" s="340"/>
      <c r="O353" s="340"/>
      <c r="P353" s="340"/>
      <c r="Q353" s="340"/>
      <c r="R353" s="340"/>
      <c r="S353" s="348"/>
      <c r="T353" s="348"/>
      <c r="U353" s="348"/>
      <c r="V353" s="340"/>
      <c r="W353" s="340"/>
      <c r="X353" s="340"/>
      <c r="Y353" s="340"/>
    </row>
    <row r="354" spans="1:25" ht="15" thickBot="1" x14ac:dyDescent="0.3">
      <c r="A354" s="325"/>
      <c r="B354" s="325"/>
      <c r="C354" s="325"/>
      <c r="D354" s="325"/>
      <c r="E354" s="325"/>
      <c r="F354" s="325"/>
      <c r="G354" s="325"/>
      <c r="H354" s="325"/>
      <c r="I354" s="325"/>
      <c r="J354" s="325"/>
      <c r="K354" s="339"/>
      <c r="L354" s="340"/>
      <c r="M354" s="340"/>
      <c r="N354" s="340"/>
      <c r="O354" s="340"/>
      <c r="P354" s="340"/>
      <c r="Q354" s="340"/>
      <c r="R354" s="340"/>
      <c r="S354" s="348"/>
      <c r="T354" s="348"/>
      <c r="U354" s="348"/>
      <c r="V354" s="340"/>
      <c r="W354" s="340"/>
      <c r="X354" s="340"/>
      <c r="Y354" s="340"/>
    </row>
    <row r="355" spans="1:25" ht="15" thickBot="1" x14ac:dyDescent="0.3">
      <c r="A355" s="325"/>
      <c r="B355" s="325"/>
      <c r="C355" s="325"/>
      <c r="D355" s="325"/>
      <c r="E355" s="325"/>
      <c r="F355" s="325"/>
      <c r="G355" s="325"/>
      <c r="H355" s="325"/>
      <c r="I355" s="325"/>
      <c r="J355" s="325"/>
      <c r="K355" s="339"/>
      <c r="L355" s="340"/>
      <c r="M355" s="340"/>
      <c r="N355" s="340"/>
      <c r="O355" s="340"/>
      <c r="P355" s="340"/>
      <c r="Q355" s="340"/>
      <c r="R355" s="340"/>
      <c r="S355" s="348"/>
      <c r="T355" s="348"/>
      <c r="U355" s="348"/>
      <c r="V355" s="340"/>
      <c r="W355" s="340"/>
      <c r="X355" s="340"/>
      <c r="Y355" s="340"/>
    </row>
    <row r="356" spans="1:25" ht="15" thickBot="1" x14ac:dyDescent="0.3">
      <c r="A356" s="325"/>
      <c r="B356" s="325"/>
      <c r="C356" s="325"/>
      <c r="D356" s="325"/>
      <c r="E356" s="325"/>
      <c r="F356" s="325"/>
      <c r="G356" s="325"/>
      <c r="H356" s="325"/>
      <c r="I356" s="325"/>
      <c r="J356" s="325"/>
      <c r="K356" s="339"/>
      <c r="L356" s="340"/>
      <c r="M356" s="340"/>
      <c r="N356" s="340"/>
      <c r="O356" s="340"/>
      <c r="P356" s="340"/>
      <c r="Q356" s="340"/>
      <c r="R356" s="340"/>
      <c r="S356" s="348"/>
      <c r="T356" s="348"/>
      <c r="U356" s="348"/>
      <c r="V356" s="340"/>
      <c r="W356" s="340"/>
      <c r="X356" s="340"/>
      <c r="Y356" s="340"/>
    </row>
    <row r="357" spans="1:25" ht="15" thickBot="1" x14ac:dyDescent="0.3">
      <c r="A357" s="325"/>
      <c r="B357" s="325"/>
      <c r="C357" s="325"/>
      <c r="D357" s="325"/>
      <c r="E357" s="325"/>
      <c r="F357" s="325"/>
      <c r="G357" s="325"/>
      <c r="H357" s="325"/>
      <c r="I357" s="325"/>
      <c r="J357" s="325"/>
      <c r="K357" s="339"/>
      <c r="L357" s="340"/>
      <c r="M357" s="340"/>
      <c r="N357" s="340"/>
      <c r="O357" s="340"/>
      <c r="P357" s="340"/>
      <c r="Q357" s="340"/>
      <c r="R357" s="340"/>
      <c r="S357" s="348"/>
      <c r="T357" s="348"/>
      <c r="U357" s="348"/>
      <c r="V357" s="340"/>
      <c r="W357" s="340"/>
      <c r="X357" s="340"/>
      <c r="Y357" s="340"/>
    </row>
    <row r="358" spans="1:25" ht="15" thickBot="1" x14ac:dyDescent="0.3">
      <c r="A358" s="325"/>
      <c r="B358" s="325"/>
      <c r="C358" s="325"/>
      <c r="D358" s="325"/>
      <c r="E358" s="325"/>
      <c r="F358" s="325"/>
      <c r="G358" s="325"/>
      <c r="H358" s="325"/>
      <c r="I358" s="325"/>
      <c r="J358" s="325"/>
      <c r="K358" s="339"/>
      <c r="L358" s="340"/>
      <c r="M358" s="340"/>
      <c r="N358" s="340"/>
      <c r="O358" s="340"/>
      <c r="P358" s="340"/>
      <c r="Q358" s="340"/>
      <c r="R358" s="340"/>
      <c r="S358" s="348"/>
      <c r="T358" s="348"/>
      <c r="U358" s="348"/>
      <c r="V358" s="340"/>
      <c r="W358" s="340"/>
      <c r="X358" s="340"/>
      <c r="Y358" s="340"/>
    </row>
    <row r="359" spans="1:25" ht="15" thickBot="1" x14ac:dyDescent="0.3">
      <c r="A359" s="325"/>
      <c r="B359" s="325"/>
      <c r="C359" s="325"/>
      <c r="D359" s="325"/>
      <c r="E359" s="325"/>
      <c r="F359" s="325"/>
      <c r="G359" s="325"/>
      <c r="H359" s="325"/>
      <c r="I359" s="325"/>
      <c r="J359" s="325"/>
      <c r="K359" s="339"/>
      <c r="L359" s="340"/>
      <c r="M359" s="340"/>
      <c r="N359" s="340"/>
      <c r="O359" s="340"/>
      <c r="P359" s="340"/>
      <c r="Q359" s="340"/>
      <c r="R359" s="340"/>
      <c r="S359" s="348"/>
      <c r="T359" s="348"/>
      <c r="U359" s="348"/>
      <c r="V359" s="340"/>
      <c r="W359" s="340"/>
      <c r="X359" s="340"/>
      <c r="Y359" s="340"/>
    </row>
    <row r="360" spans="1:25" ht="15" thickBot="1" x14ac:dyDescent="0.3">
      <c r="A360" s="325"/>
      <c r="B360" s="325"/>
      <c r="C360" s="325"/>
      <c r="D360" s="325"/>
      <c r="E360" s="325"/>
      <c r="F360" s="325"/>
      <c r="G360" s="325"/>
      <c r="H360" s="325"/>
      <c r="I360" s="325"/>
      <c r="J360" s="325"/>
      <c r="K360" s="339"/>
      <c r="L360" s="340"/>
      <c r="M360" s="340"/>
      <c r="N360" s="340"/>
      <c r="O360" s="340"/>
      <c r="P360" s="340"/>
      <c r="Q360" s="340"/>
      <c r="R360" s="340"/>
      <c r="S360" s="348"/>
      <c r="T360" s="348"/>
      <c r="U360" s="348"/>
      <c r="V360" s="340"/>
      <c r="W360" s="340"/>
      <c r="X360" s="340"/>
      <c r="Y360" s="340"/>
    </row>
    <row r="361" spans="1:25" ht="15" thickBot="1" x14ac:dyDescent="0.3">
      <c r="A361" s="325"/>
      <c r="B361" s="325"/>
      <c r="C361" s="325"/>
      <c r="D361" s="325"/>
      <c r="E361" s="325"/>
      <c r="F361" s="325"/>
      <c r="G361" s="325"/>
      <c r="H361" s="325"/>
      <c r="I361" s="325"/>
      <c r="J361" s="325"/>
      <c r="K361" s="339"/>
      <c r="L361" s="340"/>
      <c r="M361" s="340"/>
      <c r="N361" s="340"/>
      <c r="O361" s="340"/>
      <c r="P361" s="340"/>
      <c r="Q361" s="340"/>
      <c r="R361" s="340"/>
      <c r="S361" s="348"/>
      <c r="T361" s="348"/>
      <c r="U361" s="348"/>
      <c r="V361" s="340"/>
      <c r="W361" s="340"/>
      <c r="X361" s="340"/>
      <c r="Y361" s="340"/>
    </row>
    <row r="362" spans="1:25" ht="15" thickBot="1" x14ac:dyDescent="0.3">
      <c r="A362" s="325"/>
      <c r="B362" s="325"/>
      <c r="C362" s="325"/>
      <c r="D362" s="325"/>
      <c r="E362" s="325"/>
      <c r="F362" s="325"/>
      <c r="G362" s="325"/>
      <c r="H362" s="325"/>
      <c r="I362" s="325"/>
      <c r="J362" s="325"/>
      <c r="K362" s="339"/>
      <c r="L362" s="340"/>
      <c r="M362" s="340"/>
      <c r="N362" s="340"/>
      <c r="O362" s="340"/>
      <c r="P362" s="340"/>
      <c r="Q362" s="340"/>
      <c r="R362" s="340"/>
      <c r="S362" s="348"/>
      <c r="T362" s="348"/>
      <c r="U362" s="348"/>
      <c r="V362" s="340"/>
      <c r="W362" s="340"/>
      <c r="X362" s="340"/>
      <c r="Y362" s="340"/>
    </row>
    <row r="363" spans="1:25" ht="15" thickBot="1" x14ac:dyDescent="0.3">
      <c r="A363" s="325"/>
      <c r="B363" s="325"/>
      <c r="C363" s="325"/>
      <c r="D363" s="325"/>
      <c r="E363" s="325"/>
      <c r="F363" s="325"/>
      <c r="G363" s="325"/>
      <c r="H363" s="325"/>
      <c r="I363" s="325"/>
      <c r="J363" s="325"/>
      <c r="K363" s="339"/>
      <c r="L363" s="340"/>
      <c r="M363" s="340"/>
      <c r="N363" s="340"/>
      <c r="O363" s="340"/>
      <c r="P363" s="340"/>
      <c r="Q363" s="340"/>
      <c r="R363" s="340"/>
      <c r="S363" s="348"/>
      <c r="T363" s="348"/>
      <c r="U363" s="348"/>
      <c r="V363" s="340"/>
      <c r="W363" s="340"/>
      <c r="X363" s="340"/>
      <c r="Y363" s="340"/>
    </row>
    <row r="364" spans="1:25" ht="15" thickBot="1" x14ac:dyDescent="0.3">
      <c r="A364" s="325"/>
      <c r="B364" s="325"/>
      <c r="C364" s="325"/>
      <c r="D364" s="325"/>
      <c r="E364" s="325"/>
      <c r="F364" s="325"/>
      <c r="G364" s="325"/>
      <c r="H364" s="325"/>
      <c r="I364" s="325"/>
      <c r="J364" s="325"/>
      <c r="K364" s="339"/>
      <c r="L364" s="340"/>
      <c r="M364" s="340"/>
      <c r="N364" s="340"/>
      <c r="O364" s="340"/>
      <c r="P364" s="340"/>
      <c r="Q364" s="340"/>
      <c r="R364" s="340"/>
      <c r="S364" s="348"/>
      <c r="T364" s="348"/>
      <c r="U364" s="348"/>
      <c r="V364" s="340"/>
      <c r="W364" s="340"/>
      <c r="X364" s="340"/>
      <c r="Y364" s="340"/>
    </row>
    <row r="365" spans="1:25" ht="15" thickBot="1" x14ac:dyDescent="0.3">
      <c r="A365" s="325"/>
      <c r="B365" s="325"/>
      <c r="C365" s="325"/>
      <c r="D365" s="325"/>
      <c r="E365" s="325"/>
      <c r="F365" s="325"/>
      <c r="G365" s="325"/>
      <c r="H365" s="325"/>
      <c r="I365" s="325"/>
      <c r="J365" s="325"/>
      <c r="K365" s="339"/>
      <c r="L365" s="340"/>
      <c r="M365" s="340"/>
      <c r="N365" s="340"/>
      <c r="O365" s="340"/>
      <c r="P365" s="340"/>
      <c r="Q365" s="340"/>
      <c r="R365" s="340"/>
      <c r="S365" s="348"/>
      <c r="T365" s="348"/>
      <c r="U365" s="348"/>
      <c r="V365" s="340"/>
      <c r="W365" s="340"/>
      <c r="X365" s="340"/>
      <c r="Y365" s="340"/>
    </row>
    <row r="366" spans="1:25" ht="15" thickBot="1" x14ac:dyDescent="0.3">
      <c r="A366" s="325"/>
      <c r="B366" s="325"/>
      <c r="C366" s="325"/>
      <c r="D366" s="325"/>
      <c r="E366" s="325"/>
      <c r="F366" s="325"/>
      <c r="G366" s="325"/>
      <c r="H366" s="325"/>
      <c r="I366" s="325"/>
      <c r="J366" s="325"/>
      <c r="K366" s="339"/>
      <c r="L366" s="340"/>
      <c r="M366" s="340"/>
      <c r="N366" s="340"/>
      <c r="O366" s="340"/>
      <c r="P366" s="340"/>
      <c r="Q366" s="340"/>
      <c r="R366" s="340"/>
      <c r="S366" s="348"/>
      <c r="T366" s="348"/>
      <c r="U366" s="348"/>
      <c r="V366" s="340"/>
      <c r="W366" s="340"/>
      <c r="X366" s="340"/>
      <c r="Y366" s="340"/>
    </row>
    <row r="367" spans="1:25" ht="15" thickBot="1" x14ac:dyDescent="0.3">
      <c r="A367" s="325"/>
      <c r="B367" s="325"/>
      <c r="C367" s="325"/>
      <c r="D367" s="325"/>
      <c r="E367" s="325"/>
      <c r="F367" s="325"/>
      <c r="G367" s="325"/>
      <c r="H367" s="325"/>
      <c r="I367" s="325"/>
      <c r="J367" s="325"/>
      <c r="K367" s="339"/>
      <c r="L367" s="340"/>
      <c r="M367" s="340"/>
      <c r="N367" s="340"/>
      <c r="O367" s="340"/>
      <c r="P367" s="340"/>
      <c r="Q367" s="340"/>
      <c r="R367" s="340"/>
      <c r="S367" s="348"/>
      <c r="T367" s="348"/>
      <c r="U367" s="348"/>
      <c r="V367" s="340"/>
      <c r="W367" s="340"/>
      <c r="X367" s="340"/>
      <c r="Y367" s="340"/>
    </row>
    <row r="368" spans="1:25" ht="15" thickBot="1" x14ac:dyDescent="0.3">
      <c r="A368" s="325"/>
      <c r="B368" s="325"/>
      <c r="C368" s="325"/>
      <c r="D368" s="325"/>
      <c r="E368" s="325"/>
      <c r="F368" s="325"/>
      <c r="G368" s="325"/>
      <c r="H368" s="325"/>
      <c r="I368" s="325"/>
      <c r="J368" s="325"/>
      <c r="K368" s="339"/>
      <c r="L368" s="340"/>
      <c r="M368" s="340"/>
      <c r="N368" s="340"/>
      <c r="O368" s="340"/>
      <c r="P368" s="340"/>
      <c r="Q368" s="340"/>
      <c r="R368" s="340"/>
      <c r="S368" s="348"/>
      <c r="T368" s="348"/>
      <c r="U368" s="348"/>
      <c r="V368" s="340"/>
      <c r="W368" s="340"/>
      <c r="X368" s="340"/>
      <c r="Y368" s="340"/>
    </row>
    <row r="369" spans="1:25" ht="15" thickBot="1" x14ac:dyDescent="0.3">
      <c r="A369" s="325"/>
      <c r="B369" s="325"/>
      <c r="C369" s="325"/>
      <c r="D369" s="325"/>
      <c r="E369" s="325"/>
      <c r="F369" s="325"/>
      <c r="G369" s="325"/>
      <c r="H369" s="325"/>
      <c r="I369" s="325"/>
      <c r="J369" s="325"/>
      <c r="K369" s="339"/>
      <c r="L369" s="340"/>
      <c r="M369" s="340"/>
      <c r="N369" s="340"/>
      <c r="O369" s="340"/>
      <c r="P369" s="340"/>
      <c r="Q369" s="340"/>
      <c r="R369" s="340"/>
      <c r="S369" s="348"/>
      <c r="T369" s="348"/>
      <c r="U369" s="348"/>
      <c r="V369" s="340"/>
      <c r="W369" s="340"/>
      <c r="X369" s="340"/>
      <c r="Y369" s="340"/>
    </row>
    <row r="370" spans="1:25" ht="15" thickBot="1" x14ac:dyDescent="0.3">
      <c r="A370" s="325"/>
      <c r="B370" s="325"/>
      <c r="C370" s="325"/>
      <c r="D370" s="325"/>
      <c r="E370" s="325"/>
      <c r="F370" s="325"/>
      <c r="G370" s="325"/>
      <c r="H370" s="325"/>
      <c r="I370" s="325"/>
      <c r="J370" s="325"/>
      <c r="K370" s="339"/>
      <c r="L370" s="340"/>
      <c r="M370" s="340"/>
      <c r="N370" s="340"/>
      <c r="O370" s="340"/>
      <c r="P370" s="340"/>
      <c r="Q370" s="340"/>
      <c r="R370" s="340"/>
      <c r="S370" s="348"/>
      <c r="T370" s="348"/>
      <c r="U370" s="348"/>
      <c r="V370" s="340"/>
      <c r="W370" s="340"/>
      <c r="X370" s="340"/>
      <c r="Y370" s="340"/>
    </row>
    <row r="371" spans="1:25" ht="15" thickBot="1" x14ac:dyDescent="0.3">
      <c r="A371" s="325"/>
      <c r="B371" s="325"/>
      <c r="C371" s="325"/>
      <c r="D371" s="325"/>
      <c r="E371" s="325"/>
      <c r="F371" s="325"/>
      <c r="G371" s="325"/>
      <c r="H371" s="325"/>
      <c r="I371" s="325"/>
      <c r="J371" s="325"/>
      <c r="K371" s="339"/>
      <c r="L371" s="340"/>
      <c r="M371" s="340"/>
      <c r="N371" s="340"/>
      <c r="O371" s="340"/>
      <c r="P371" s="340"/>
      <c r="Q371" s="340"/>
      <c r="R371" s="340"/>
      <c r="S371" s="348"/>
      <c r="T371" s="348"/>
      <c r="U371" s="348"/>
      <c r="V371" s="340"/>
      <c r="W371" s="340"/>
      <c r="X371" s="340"/>
      <c r="Y371" s="340"/>
    </row>
    <row r="372" spans="1:25" ht="15" thickBot="1" x14ac:dyDescent="0.3">
      <c r="A372" s="325"/>
      <c r="B372" s="325"/>
      <c r="C372" s="325"/>
      <c r="D372" s="325"/>
      <c r="E372" s="325"/>
      <c r="F372" s="325"/>
      <c r="G372" s="325"/>
      <c r="H372" s="325"/>
      <c r="I372" s="325"/>
      <c r="J372" s="325"/>
      <c r="K372" s="339"/>
      <c r="L372" s="340"/>
      <c r="M372" s="340"/>
      <c r="N372" s="340"/>
      <c r="O372" s="340"/>
      <c r="P372" s="340"/>
      <c r="Q372" s="340"/>
      <c r="R372" s="340"/>
      <c r="S372" s="348"/>
      <c r="T372" s="348"/>
      <c r="U372" s="348"/>
      <c r="V372" s="340"/>
      <c r="W372" s="340"/>
      <c r="X372" s="340"/>
      <c r="Y372" s="340"/>
    </row>
    <row r="373" spans="1:25" ht="15" thickBot="1" x14ac:dyDescent="0.3">
      <c r="A373" s="325"/>
      <c r="B373" s="325"/>
      <c r="C373" s="325"/>
      <c r="D373" s="325"/>
      <c r="E373" s="325"/>
      <c r="F373" s="325"/>
      <c r="G373" s="325"/>
      <c r="H373" s="325"/>
      <c r="I373" s="325"/>
      <c r="J373" s="325"/>
      <c r="K373" s="339"/>
      <c r="L373" s="340"/>
      <c r="M373" s="340"/>
      <c r="N373" s="340"/>
      <c r="O373" s="340"/>
      <c r="P373" s="340"/>
      <c r="Q373" s="340"/>
      <c r="R373" s="340"/>
      <c r="S373" s="348"/>
      <c r="T373" s="348"/>
      <c r="U373" s="348"/>
      <c r="V373" s="340"/>
      <c r="W373" s="340"/>
      <c r="X373" s="340"/>
      <c r="Y373" s="340"/>
    </row>
    <row r="374" spans="1:25" ht="15" thickBot="1" x14ac:dyDescent="0.3">
      <c r="A374" s="325"/>
      <c r="B374" s="325"/>
      <c r="C374" s="325"/>
      <c r="D374" s="325"/>
      <c r="E374" s="325"/>
      <c r="F374" s="325"/>
      <c r="G374" s="325"/>
      <c r="H374" s="325"/>
      <c r="I374" s="325"/>
      <c r="J374" s="325"/>
      <c r="K374" s="339"/>
      <c r="L374" s="340"/>
      <c r="M374" s="340"/>
      <c r="N374" s="340"/>
      <c r="O374" s="340"/>
      <c r="P374" s="340"/>
      <c r="Q374" s="340"/>
      <c r="R374" s="340"/>
      <c r="S374" s="348"/>
      <c r="T374" s="348"/>
      <c r="U374" s="348"/>
      <c r="V374" s="340"/>
      <c r="W374" s="340"/>
      <c r="X374" s="340"/>
      <c r="Y374" s="340"/>
    </row>
    <row r="375" spans="1:25" ht="15" thickBot="1" x14ac:dyDescent="0.3">
      <c r="A375" s="325"/>
      <c r="B375" s="325"/>
      <c r="C375" s="325"/>
      <c r="D375" s="325"/>
      <c r="E375" s="325"/>
      <c r="F375" s="325"/>
      <c r="G375" s="325"/>
      <c r="H375" s="325"/>
      <c r="I375" s="325"/>
      <c r="J375" s="325"/>
      <c r="K375" s="339"/>
      <c r="L375" s="340"/>
      <c r="M375" s="340"/>
      <c r="N375" s="340"/>
      <c r="O375" s="340"/>
      <c r="P375" s="340"/>
      <c r="Q375" s="340"/>
      <c r="R375" s="340"/>
      <c r="S375" s="348"/>
      <c r="T375" s="348"/>
      <c r="U375" s="348"/>
      <c r="V375" s="340"/>
      <c r="W375" s="340"/>
      <c r="X375" s="340"/>
      <c r="Y375" s="340"/>
    </row>
    <row r="376" spans="1:25" ht="15" thickBot="1" x14ac:dyDescent="0.3">
      <c r="A376" s="325"/>
      <c r="B376" s="325"/>
      <c r="C376" s="325"/>
      <c r="D376" s="325"/>
      <c r="E376" s="325"/>
      <c r="F376" s="325"/>
      <c r="G376" s="325"/>
      <c r="H376" s="325"/>
      <c r="I376" s="325"/>
      <c r="J376" s="325"/>
      <c r="K376" s="339"/>
      <c r="L376" s="340"/>
      <c r="M376" s="340"/>
      <c r="N376" s="340"/>
      <c r="O376" s="340"/>
      <c r="P376" s="340"/>
      <c r="Q376" s="340"/>
      <c r="R376" s="340"/>
      <c r="S376" s="348"/>
      <c r="T376" s="348"/>
      <c r="U376" s="348"/>
      <c r="V376" s="340"/>
      <c r="W376" s="340"/>
      <c r="X376" s="340"/>
      <c r="Y376" s="340"/>
    </row>
    <row r="377" spans="1:25" ht="15" thickBot="1" x14ac:dyDescent="0.3">
      <c r="A377" s="325"/>
      <c r="B377" s="325"/>
      <c r="C377" s="325"/>
      <c r="D377" s="325"/>
      <c r="E377" s="325"/>
      <c r="F377" s="325"/>
      <c r="G377" s="325"/>
      <c r="H377" s="325"/>
      <c r="I377" s="325"/>
      <c r="J377" s="325"/>
      <c r="K377" s="339"/>
      <c r="L377" s="340"/>
      <c r="M377" s="340"/>
      <c r="N377" s="340"/>
      <c r="O377" s="340"/>
      <c r="P377" s="340"/>
      <c r="Q377" s="340"/>
      <c r="R377" s="340"/>
      <c r="S377" s="348"/>
      <c r="T377" s="348"/>
      <c r="U377" s="348"/>
      <c r="V377" s="340"/>
      <c r="W377" s="340"/>
      <c r="X377" s="340"/>
      <c r="Y377" s="340"/>
    </row>
    <row r="378" spans="1:25" ht="15" thickBot="1" x14ac:dyDescent="0.3">
      <c r="A378" s="325"/>
      <c r="B378" s="325"/>
      <c r="C378" s="325"/>
      <c r="D378" s="325"/>
      <c r="E378" s="325"/>
      <c r="F378" s="325"/>
      <c r="G378" s="325"/>
      <c r="H378" s="325"/>
      <c r="I378" s="325"/>
      <c r="J378" s="325"/>
      <c r="K378" s="339"/>
      <c r="L378" s="340"/>
      <c r="M378" s="340"/>
      <c r="N378" s="340"/>
      <c r="O378" s="340"/>
      <c r="P378" s="340"/>
      <c r="Q378" s="340"/>
      <c r="R378" s="340"/>
      <c r="S378" s="348"/>
      <c r="T378" s="348"/>
      <c r="U378" s="348"/>
      <c r="V378" s="340"/>
      <c r="W378" s="340"/>
      <c r="X378" s="340"/>
      <c r="Y378" s="340"/>
    </row>
    <row r="379" spans="1:25" ht="15" thickBot="1" x14ac:dyDescent="0.3">
      <c r="A379" s="325"/>
      <c r="B379" s="325"/>
      <c r="C379" s="325"/>
      <c r="D379" s="325"/>
      <c r="E379" s="325"/>
      <c r="F379" s="325"/>
      <c r="G379" s="325"/>
      <c r="H379" s="325"/>
      <c r="I379" s="325"/>
      <c r="J379" s="325"/>
      <c r="K379" s="339"/>
      <c r="L379" s="340"/>
      <c r="M379" s="340"/>
      <c r="N379" s="340"/>
      <c r="O379" s="340"/>
      <c r="P379" s="340"/>
      <c r="Q379" s="340"/>
      <c r="R379" s="340"/>
      <c r="S379" s="348"/>
      <c r="T379" s="348"/>
      <c r="U379" s="348"/>
      <c r="V379" s="340"/>
      <c r="W379" s="340"/>
      <c r="X379" s="340"/>
      <c r="Y379" s="340"/>
    </row>
    <row r="380" spans="1:25" ht="15" thickBot="1" x14ac:dyDescent="0.3">
      <c r="A380" s="325"/>
      <c r="B380" s="325"/>
      <c r="C380" s="325"/>
      <c r="D380" s="325"/>
      <c r="E380" s="325"/>
      <c r="F380" s="325"/>
      <c r="G380" s="325"/>
      <c r="H380" s="325"/>
      <c r="I380" s="325"/>
      <c r="J380" s="325"/>
      <c r="K380" s="339"/>
      <c r="L380" s="340"/>
      <c r="M380" s="340"/>
      <c r="N380" s="340"/>
      <c r="O380" s="340"/>
      <c r="P380" s="340"/>
      <c r="Q380" s="340"/>
      <c r="R380" s="340"/>
      <c r="S380" s="348"/>
      <c r="T380" s="348"/>
      <c r="U380" s="348"/>
      <c r="V380" s="340"/>
      <c r="W380" s="340"/>
      <c r="X380" s="340"/>
      <c r="Y380" s="340"/>
    </row>
    <row r="381" spans="1:25" ht="15" thickBot="1" x14ac:dyDescent="0.3">
      <c r="A381" s="325"/>
      <c r="B381" s="325"/>
      <c r="C381" s="325"/>
      <c r="D381" s="325"/>
      <c r="E381" s="325"/>
      <c r="F381" s="325"/>
      <c r="G381" s="325"/>
      <c r="H381" s="325"/>
      <c r="I381" s="325"/>
      <c r="J381" s="325"/>
      <c r="K381" s="339"/>
      <c r="L381" s="340"/>
      <c r="M381" s="340"/>
      <c r="N381" s="340"/>
      <c r="O381" s="340"/>
      <c r="P381" s="340"/>
      <c r="Q381" s="340"/>
      <c r="R381" s="340"/>
      <c r="S381" s="348"/>
      <c r="T381" s="348"/>
      <c r="U381" s="348"/>
      <c r="V381" s="340"/>
      <c r="W381" s="340"/>
      <c r="X381" s="340"/>
      <c r="Y381" s="340"/>
    </row>
    <row r="382" spans="1:25" ht="15" thickBot="1" x14ac:dyDescent="0.3">
      <c r="A382" s="325"/>
      <c r="B382" s="325"/>
      <c r="C382" s="325"/>
      <c r="D382" s="325"/>
      <c r="E382" s="325"/>
      <c r="F382" s="325"/>
      <c r="G382" s="325"/>
      <c r="H382" s="325"/>
      <c r="I382" s="325"/>
      <c r="J382" s="325"/>
      <c r="K382" s="339"/>
      <c r="L382" s="340"/>
      <c r="M382" s="340"/>
      <c r="N382" s="340"/>
      <c r="O382" s="340"/>
      <c r="P382" s="340"/>
      <c r="Q382" s="340"/>
      <c r="R382" s="340"/>
      <c r="S382" s="348"/>
      <c r="T382" s="348"/>
      <c r="U382" s="348"/>
      <c r="V382" s="340"/>
      <c r="W382" s="340"/>
      <c r="X382" s="340"/>
      <c r="Y382" s="340"/>
    </row>
    <row r="383" spans="1:25" ht="15" thickBot="1" x14ac:dyDescent="0.3">
      <c r="A383" s="325"/>
      <c r="B383" s="325"/>
      <c r="C383" s="325"/>
      <c r="D383" s="325"/>
      <c r="E383" s="325"/>
      <c r="F383" s="325"/>
      <c r="G383" s="325"/>
      <c r="H383" s="325"/>
      <c r="I383" s="325"/>
      <c r="J383" s="325"/>
      <c r="K383" s="339"/>
      <c r="L383" s="340"/>
      <c r="M383" s="340"/>
      <c r="N383" s="340"/>
      <c r="O383" s="340"/>
      <c r="P383" s="340"/>
      <c r="Q383" s="340"/>
      <c r="R383" s="340"/>
      <c r="S383" s="348"/>
      <c r="T383" s="348"/>
      <c r="U383" s="348"/>
      <c r="V383" s="340"/>
      <c r="W383" s="340"/>
      <c r="X383" s="340"/>
      <c r="Y383" s="340"/>
    </row>
    <row r="384" spans="1:25" ht="15" thickBot="1" x14ac:dyDescent="0.3">
      <c r="A384" s="325"/>
      <c r="B384" s="325"/>
      <c r="C384" s="325"/>
      <c r="D384" s="325"/>
      <c r="E384" s="325"/>
      <c r="F384" s="325"/>
      <c r="G384" s="325"/>
      <c r="H384" s="325"/>
      <c r="I384" s="325"/>
      <c r="J384" s="325"/>
      <c r="K384" s="339"/>
      <c r="L384" s="340"/>
      <c r="M384" s="340"/>
      <c r="N384" s="340"/>
      <c r="O384" s="340"/>
      <c r="P384" s="340"/>
      <c r="Q384" s="340"/>
      <c r="R384" s="340"/>
      <c r="S384" s="348"/>
      <c r="T384" s="348"/>
      <c r="U384" s="348"/>
      <c r="V384" s="340"/>
      <c r="W384" s="340"/>
      <c r="X384" s="340"/>
      <c r="Y384" s="340"/>
    </row>
    <row r="385" spans="1:25" ht="15" thickBot="1" x14ac:dyDescent="0.3">
      <c r="A385" s="325"/>
      <c r="B385" s="325"/>
      <c r="C385" s="325"/>
      <c r="D385" s="325"/>
      <c r="E385" s="325"/>
      <c r="F385" s="325"/>
      <c r="G385" s="325"/>
      <c r="H385" s="325"/>
      <c r="I385" s="325"/>
      <c r="J385" s="325"/>
      <c r="K385" s="339"/>
      <c r="L385" s="340"/>
      <c r="M385" s="340"/>
      <c r="N385" s="340"/>
      <c r="O385" s="340"/>
      <c r="P385" s="340"/>
      <c r="Q385" s="340"/>
      <c r="R385" s="340"/>
      <c r="S385" s="348"/>
      <c r="T385" s="348"/>
      <c r="U385" s="348"/>
      <c r="V385" s="340"/>
      <c r="W385" s="340"/>
      <c r="X385" s="340"/>
      <c r="Y385" s="340"/>
    </row>
    <row r="386" spans="1:25" ht="15" thickBot="1" x14ac:dyDescent="0.3">
      <c r="A386" s="325"/>
      <c r="B386" s="325"/>
      <c r="C386" s="325"/>
      <c r="D386" s="325"/>
      <c r="E386" s="325"/>
      <c r="F386" s="325"/>
      <c r="G386" s="325"/>
      <c r="H386" s="325"/>
      <c r="I386" s="325"/>
      <c r="J386" s="325"/>
      <c r="K386" s="339"/>
      <c r="L386" s="340"/>
      <c r="M386" s="340"/>
      <c r="N386" s="340"/>
      <c r="O386" s="340"/>
      <c r="P386" s="340"/>
      <c r="Q386" s="340"/>
      <c r="R386" s="340"/>
      <c r="S386" s="348"/>
      <c r="T386" s="348"/>
      <c r="U386" s="348"/>
      <c r="V386" s="340"/>
      <c r="W386" s="340"/>
      <c r="X386" s="340"/>
      <c r="Y386" s="340"/>
    </row>
    <row r="387" spans="1:25" ht="15" thickBot="1" x14ac:dyDescent="0.3">
      <c r="A387" s="325"/>
      <c r="B387" s="325"/>
      <c r="C387" s="325"/>
      <c r="D387" s="325"/>
      <c r="E387" s="325"/>
      <c r="F387" s="325"/>
      <c r="G387" s="325"/>
      <c r="H387" s="325"/>
      <c r="I387" s="325"/>
      <c r="J387" s="325"/>
      <c r="K387" s="339"/>
      <c r="L387" s="340"/>
      <c r="M387" s="340"/>
      <c r="N387" s="340"/>
      <c r="O387" s="340"/>
      <c r="P387" s="340"/>
      <c r="Q387" s="340"/>
      <c r="R387" s="340"/>
      <c r="S387" s="348"/>
      <c r="T387" s="348"/>
      <c r="U387" s="348"/>
      <c r="V387" s="340"/>
      <c r="W387" s="340"/>
      <c r="X387" s="340"/>
      <c r="Y387" s="340"/>
    </row>
    <row r="388" spans="1:25" ht="15" thickBot="1" x14ac:dyDescent="0.3">
      <c r="A388" s="325"/>
      <c r="B388" s="325"/>
      <c r="C388" s="325"/>
      <c r="D388" s="325"/>
      <c r="E388" s="325"/>
      <c r="F388" s="325"/>
      <c r="G388" s="325"/>
      <c r="H388" s="325"/>
      <c r="I388" s="325"/>
      <c r="J388" s="325"/>
      <c r="K388" s="339"/>
      <c r="L388" s="340"/>
      <c r="M388" s="340"/>
      <c r="N388" s="340"/>
      <c r="O388" s="340"/>
      <c r="P388" s="340"/>
      <c r="Q388" s="340"/>
      <c r="R388" s="340"/>
      <c r="S388" s="348"/>
      <c r="T388" s="348"/>
      <c r="U388" s="348"/>
      <c r="V388" s="340"/>
      <c r="W388" s="340"/>
      <c r="X388" s="340"/>
      <c r="Y388" s="340"/>
    </row>
    <row r="389" spans="1:25" ht="15" thickBot="1" x14ac:dyDescent="0.3">
      <c r="A389" s="325"/>
      <c r="B389" s="325"/>
      <c r="C389" s="325"/>
      <c r="D389" s="325"/>
      <c r="E389" s="325"/>
      <c r="F389" s="325"/>
      <c r="G389" s="325"/>
      <c r="H389" s="325"/>
      <c r="I389" s="325"/>
      <c r="J389" s="325"/>
      <c r="K389" s="339"/>
      <c r="L389" s="340"/>
      <c r="M389" s="340"/>
      <c r="N389" s="340"/>
      <c r="O389" s="340"/>
      <c r="P389" s="340"/>
      <c r="Q389" s="340"/>
      <c r="R389" s="340"/>
      <c r="S389" s="348"/>
      <c r="T389" s="348"/>
      <c r="U389" s="348"/>
      <c r="V389" s="340"/>
      <c r="W389" s="340"/>
      <c r="X389" s="340"/>
      <c r="Y389" s="340"/>
    </row>
    <row r="390" spans="1:25" ht="15" thickBot="1" x14ac:dyDescent="0.3">
      <c r="A390" s="325"/>
      <c r="B390" s="325"/>
      <c r="C390" s="325"/>
      <c r="D390" s="325"/>
      <c r="E390" s="325"/>
      <c r="F390" s="325"/>
      <c r="G390" s="325"/>
      <c r="H390" s="325"/>
      <c r="I390" s="325"/>
      <c r="J390" s="325"/>
      <c r="K390" s="339"/>
      <c r="L390" s="340"/>
      <c r="M390" s="340"/>
      <c r="N390" s="340"/>
      <c r="O390" s="340"/>
      <c r="P390" s="340"/>
      <c r="Q390" s="340"/>
      <c r="R390" s="340"/>
      <c r="S390" s="348"/>
      <c r="T390" s="348"/>
      <c r="U390" s="348"/>
      <c r="V390" s="340"/>
      <c r="W390" s="340"/>
      <c r="X390" s="340"/>
      <c r="Y390" s="340"/>
    </row>
    <row r="391" spans="1:25" ht="15" thickBot="1" x14ac:dyDescent="0.3">
      <c r="A391" s="325"/>
      <c r="B391" s="325"/>
      <c r="C391" s="325"/>
      <c r="D391" s="325"/>
      <c r="E391" s="325"/>
      <c r="F391" s="325"/>
      <c r="G391" s="325"/>
      <c r="H391" s="325"/>
      <c r="I391" s="325"/>
      <c r="J391" s="325"/>
      <c r="K391" s="339"/>
      <c r="L391" s="340"/>
      <c r="M391" s="340"/>
      <c r="N391" s="340"/>
      <c r="O391" s="340"/>
      <c r="P391" s="340"/>
      <c r="Q391" s="340"/>
      <c r="R391" s="340"/>
      <c r="S391" s="348"/>
      <c r="T391" s="348"/>
      <c r="U391" s="348"/>
      <c r="V391" s="340"/>
      <c r="W391" s="340"/>
      <c r="X391" s="340"/>
      <c r="Y391" s="340"/>
    </row>
    <row r="392" spans="1:25" ht="15" thickBot="1" x14ac:dyDescent="0.3">
      <c r="A392" s="325"/>
      <c r="B392" s="325"/>
      <c r="C392" s="325"/>
      <c r="D392" s="325"/>
      <c r="E392" s="325"/>
      <c r="F392" s="325"/>
      <c r="G392" s="325"/>
      <c r="H392" s="325"/>
      <c r="I392" s="325"/>
      <c r="J392" s="325"/>
      <c r="K392" s="339"/>
      <c r="L392" s="340"/>
      <c r="M392" s="340"/>
      <c r="N392" s="340"/>
      <c r="O392" s="340"/>
      <c r="P392" s="340"/>
      <c r="Q392" s="340"/>
      <c r="R392" s="340"/>
      <c r="S392" s="348"/>
      <c r="T392" s="348"/>
      <c r="U392" s="348"/>
      <c r="V392" s="340"/>
      <c r="W392" s="340"/>
      <c r="X392" s="340"/>
      <c r="Y392" s="340"/>
    </row>
    <row r="393" spans="1:25" ht="15" thickBot="1" x14ac:dyDescent="0.3">
      <c r="A393" s="325"/>
      <c r="B393" s="325"/>
      <c r="C393" s="325"/>
      <c r="D393" s="325"/>
      <c r="E393" s="325"/>
      <c r="F393" s="325"/>
      <c r="G393" s="325"/>
      <c r="H393" s="325"/>
      <c r="I393" s="325"/>
      <c r="J393" s="325"/>
      <c r="K393" s="339"/>
      <c r="L393" s="340"/>
      <c r="M393" s="340"/>
      <c r="N393" s="340"/>
      <c r="O393" s="340"/>
      <c r="P393" s="340"/>
      <c r="Q393" s="340"/>
      <c r="R393" s="340"/>
      <c r="S393" s="348"/>
      <c r="T393" s="348"/>
      <c r="U393" s="348"/>
      <c r="V393" s="340"/>
      <c r="W393" s="340"/>
      <c r="X393" s="340"/>
      <c r="Y393" s="340"/>
    </row>
    <row r="394" spans="1:25" ht="15" thickBot="1" x14ac:dyDescent="0.3">
      <c r="A394" s="325"/>
      <c r="B394" s="325"/>
      <c r="C394" s="325"/>
      <c r="D394" s="325"/>
      <c r="E394" s="325"/>
      <c r="F394" s="325"/>
      <c r="G394" s="325"/>
      <c r="H394" s="325"/>
      <c r="I394" s="325"/>
      <c r="J394" s="325"/>
      <c r="K394" s="339"/>
      <c r="L394" s="340"/>
      <c r="M394" s="340"/>
      <c r="N394" s="340"/>
      <c r="O394" s="340"/>
      <c r="P394" s="340"/>
      <c r="Q394" s="340"/>
      <c r="R394" s="340"/>
      <c r="S394" s="348"/>
      <c r="T394" s="348"/>
      <c r="U394" s="348"/>
      <c r="V394" s="340"/>
      <c r="W394" s="340"/>
      <c r="X394" s="340"/>
      <c r="Y394" s="340"/>
    </row>
    <row r="395" spans="1:25" ht="15" thickBot="1" x14ac:dyDescent="0.3">
      <c r="A395" s="325"/>
      <c r="B395" s="325"/>
      <c r="C395" s="325"/>
      <c r="D395" s="325"/>
      <c r="E395" s="325"/>
      <c r="F395" s="325"/>
      <c r="G395" s="325"/>
      <c r="H395" s="325"/>
      <c r="I395" s="325"/>
      <c r="J395" s="325"/>
      <c r="K395" s="339"/>
      <c r="L395" s="340"/>
      <c r="M395" s="340"/>
      <c r="N395" s="340"/>
      <c r="O395" s="340"/>
      <c r="P395" s="340"/>
      <c r="Q395" s="340"/>
      <c r="R395" s="340"/>
      <c r="S395" s="348"/>
      <c r="T395" s="348"/>
      <c r="U395" s="348"/>
      <c r="V395" s="340"/>
      <c r="W395" s="340"/>
      <c r="X395" s="340"/>
      <c r="Y395" s="340"/>
    </row>
    <row r="396" spans="1:25" ht="15" thickBot="1" x14ac:dyDescent="0.3">
      <c r="A396" s="325"/>
      <c r="B396" s="325"/>
      <c r="C396" s="325"/>
      <c r="D396" s="325"/>
      <c r="E396" s="325"/>
      <c r="F396" s="325"/>
      <c r="G396" s="325"/>
      <c r="H396" s="325"/>
      <c r="I396" s="325"/>
      <c r="J396" s="325"/>
      <c r="K396" s="339"/>
      <c r="L396" s="340"/>
      <c r="M396" s="340"/>
      <c r="N396" s="340"/>
      <c r="O396" s="340"/>
      <c r="P396" s="340"/>
      <c r="Q396" s="340"/>
      <c r="R396" s="340"/>
      <c r="S396" s="348"/>
      <c r="T396" s="348"/>
      <c r="U396" s="348"/>
      <c r="V396" s="340"/>
      <c r="W396" s="340"/>
      <c r="X396" s="340"/>
      <c r="Y396" s="340"/>
    </row>
    <row r="397" spans="1:25" ht="15" thickBot="1" x14ac:dyDescent="0.3">
      <c r="A397" s="325"/>
      <c r="B397" s="325"/>
      <c r="C397" s="325"/>
      <c r="D397" s="325"/>
      <c r="E397" s="325"/>
      <c r="F397" s="325"/>
      <c r="G397" s="325"/>
      <c r="H397" s="325"/>
      <c r="I397" s="325"/>
      <c r="J397" s="325"/>
      <c r="K397" s="339"/>
      <c r="L397" s="340"/>
      <c r="M397" s="340"/>
      <c r="N397" s="340"/>
      <c r="O397" s="340"/>
      <c r="P397" s="340"/>
      <c r="Q397" s="340"/>
      <c r="R397" s="340"/>
      <c r="S397" s="348"/>
      <c r="T397" s="348"/>
      <c r="U397" s="348"/>
      <c r="V397" s="340"/>
      <c r="W397" s="340"/>
      <c r="X397" s="340"/>
      <c r="Y397" s="340"/>
    </row>
    <row r="398" spans="1:25" ht="15" thickBot="1" x14ac:dyDescent="0.3">
      <c r="A398" s="325"/>
      <c r="B398" s="325"/>
      <c r="C398" s="325"/>
      <c r="D398" s="325"/>
      <c r="E398" s="325"/>
      <c r="F398" s="325"/>
      <c r="G398" s="325"/>
      <c r="H398" s="325"/>
      <c r="I398" s="325"/>
      <c r="J398" s="325"/>
      <c r="K398" s="339"/>
      <c r="L398" s="340"/>
      <c r="M398" s="340"/>
      <c r="N398" s="340"/>
      <c r="O398" s="340"/>
      <c r="P398" s="340"/>
      <c r="Q398" s="340"/>
      <c r="R398" s="340"/>
      <c r="S398" s="348"/>
      <c r="T398" s="348"/>
      <c r="U398" s="348"/>
      <c r="V398" s="340"/>
      <c r="W398" s="340"/>
      <c r="X398" s="340"/>
      <c r="Y398" s="340"/>
    </row>
    <row r="399" spans="1:25" ht="15" thickBot="1" x14ac:dyDescent="0.3">
      <c r="A399" s="325"/>
      <c r="B399" s="325"/>
      <c r="C399" s="325"/>
      <c r="D399" s="325"/>
      <c r="E399" s="325"/>
      <c r="F399" s="325"/>
      <c r="G399" s="325"/>
      <c r="H399" s="325"/>
      <c r="I399" s="325"/>
      <c r="J399" s="325"/>
      <c r="K399" s="339"/>
      <c r="L399" s="340"/>
      <c r="M399" s="340"/>
      <c r="N399" s="340"/>
      <c r="O399" s="340"/>
      <c r="P399" s="340"/>
      <c r="Q399" s="340"/>
      <c r="R399" s="340"/>
      <c r="S399" s="348"/>
      <c r="T399" s="348"/>
      <c r="U399" s="348"/>
      <c r="V399" s="340"/>
      <c r="W399" s="340"/>
      <c r="X399" s="340"/>
      <c r="Y399" s="340"/>
    </row>
    <row r="400" spans="1:25" ht="15" thickBot="1" x14ac:dyDescent="0.3">
      <c r="A400" s="325"/>
      <c r="B400" s="325"/>
      <c r="C400" s="325"/>
      <c r="D400" s="325"/>
      <c r="E400" s="325"/>
      <c r="F400" s="325"/>
      <c r="G400" s="325"/>
      <c r="H400" s="325"/>
      <c r="I400" s="325"/>
      <c r="J400" s="325"/>
      <c r="K400" s="339"/>
      <c r="L400" s="340"/>
      <c r="M400" s="340"/>
      <c r="N400" s="340"/>
      <c r="O400" s="340"/>
      <c r="P400" s="340"/>
      <c r="Q400" s="340"/>
      <c r="R400" s="340"/>
      <c r="S400" s="348"/>
      <c r="T400" s="348"/>
      <c r="U400" s="348"/>
      <c r="V400" s="340"/>
      <c r="W400" s="340"/>
      <c r="X400" s="340"/>
      <c r="Y400" s="340"/>
    </row>
    <row r="401" spans="1:25" ht="15" thickBot="1" x14ac:dyDescent="0.3">
      <c r="A401" s="325"/>
      <c r="B401" s="325"/>
      <c r="C401" s="325"/>
      <c r="D401" s="325"/>
      <c r="E401" s="325"/>
      <c r="F401" s="325"/>
      <c r="G401" s="325"/>
      <c r="H401" s="325"/>
      <c r="I401" s="325"/>
      <c r="J401" s="325"/>
      <c r="K401" s="339"/>
      <c r="L401" s="340"/>
      <c r="M401" s="340"/>
      <c r="N401" s="340"/>
      <c r="O401" s="340"/>
      <c r="P401" s="340"/>
      <c r="Q401" s="340"/>
      <c r="R401" s="340"/>
      <c r="S401" s="348"/>
      <c r="T401" s="348"/>
      <c r="U401" s="348"/>
      <c r="V401" s="340"/>
      <c r="W401" s="340"/>
      <c r="X401" s="340"/>
      <c r="Y401" s="340"/>
    </row>
    <row r="402" spans="1:25" ht="15" thickBot="1" x14ac:dyDescent="0.3">
      <c r="A402" s="325"/>
      <c r="B402" s="325"/>
      <c r="C402" s="325"/>
      <c r="D402" s="325"/>
      <c r="E402" s="325"/>
      <c r="F402" s="325"/>
      <c r="G402" s="325"/>
      <c r="H402" s="325"/>
      <c r="I402" s="325"/>
      <c r="J402" s="325"/>
      <c r="K402" s="339"/>
      <c r="L402" s="340"/>
      <c r="M402" s="340"/>
      <c r="N402" s="340"/>
      <c r="O402" s="340"/>
      <c r="P402" s="340"/>
      <c r="Q402" s="340"/>
      <c r="R402" s="340"/>
      <c r="S402" s="348"/>
      <c r="T402" s="348"/>
      <c r="U402" s="348"/>
      <c r="V402" s="340"/>
      <c r="W402" s="340"/>
      <c r="X402" s="340"/>
      <c r="Y402" s="340"/>
    </row>
    <row r="403" spans="1:25" ht="15" thickBot="1" x14ac:dyDescent="0.3">
      <c r="A403" s="325"/>
      <c r="B403" s="325"/>
      <c r="C403" s="325"/>
      <c r="D403" s="325"/>
      <c r="E403" s="325"/>
      <c r="F403" s="325"/>
      <c r="G403" s="325"/>
      <c r="H403" s="325"/>
      <c r="I403" s="325"/>
      <c r="J403" s="325"/>
      <c r="K403" s="339"/>
      <c r="L403" s="340"/>
      <c r="M403" s="340"/>
      <c r="N403" s="340"/>
      <c r="O403" s="340"/>
      <c r="P403" s="340"/>
      <c r="Q403" s="340"/>
      <c r="R403" s="340"/>
      <c r="S403" s="348"/>
      <c r="T403" s="348"/>
      <c r="U403" s="348"/>
      <c r="V403" s="340"/>
      <c r="W403" s="340"/>
      <c r="X403" s="340"/>
      <c r="Y403" s="340"/>
    </row>
    <row r="404" spans="1:25" ht="15" thickBot="1" x14ac:dyDescent="0.3">
      <c r="A404" s="325"/>
      <c r="B404" s="325"/>
      <c r="C404" s="325"/>
      <c r="D404" s="325"/>
      <c r="E404" s="325"/>
      <c r="F404" s="325"/>
      <c r="G404" s="325"/>
      <c r="H404" s="325"/>
      <c r="I404" s="325"/>
      <c r="J404" s="325"/>
      <c r="K404" s="339"/>
      <c r="L404" s="340"/>
      <c r="M404" s="340"/>
      <c r="N404" s="340"/>
      <c r="O404" s="340"/>
      <c r="P404" s="340"/>
      <c r="Q404" s="340"/>
      <c r="R404" s="340"/>
      <c r="S404" s="348"/>
      <c r="T404" s="348"/>
      <c r="U404" s="348"/>
      <c r="V404" s="340"/>
      <c r="W404" s="340"/>
      <c r="X404" s="340"/>
      <c r="Y404" s="340"/>
    </row>
    <row r="405" spans="1:25" ht="15" thickBot="1" x14ac:dyDescent="0.3">
      <c r="A405" s="325"/>
      <c r="B405" s="325"/>
      <c r="C405" s="325"/>
      <c r="D405" s="325"/>
      <c r="E405" s="325"/>
      <c r="F405" s="325"/>
      <c r="G405" s="325"/>
      <c r="H405" s="325"/>
      <c r="I405" s="325"/>
      <c r="J405" s="325"/>
      <c r="K405" s="339"/>
      <c r="L405" s="340"/>
      <c r="M405" s="340"/>
      <c r="N405" s="340"/>
      <c r="O405" s="340"/>
      <c r="P405" s="340"/>
      <c r="Q405" s="340"/>
      <c r="R405" s="340"/>
      <c r="S405" s="348"/>
      <c r="T405" s="348"/>
      <c r="U405" s="348"/>
      <c r="V405" s="340"/>
      <c r="W405" s="340"/>
      <c r="X405" s="340"/>
      <c r="Y405" s="340"/>
    </row>
    <row r="406" spans="1:25" ht="15" thickBot="1" x14ac:dyDescent="0.3">
      <c r="A406" s="325"/>
      <c r="B406" s="325"/>
      <c r="C406" s="325"/>
      <c r="D406" s="325"/>
      <c r="E406" s="325"/>
      <c r="F406" s="325"/>
      <c r="G406" s="325"/>
      <c r="H406" s="325"/>
      <c r="I406" s="325"/>
      <c r="J406" s="325"/>
      <c r="K406" s="339"/>
      <c r="L406" s="340"/>
      <c r="M406" s="340"/>
      <c r="N406" s="340"/>
      <c r="O406" s="340"/>
      <c r="P406" s="340"/>
      <c r="Q406" s="340"/>
      <c r="R406" s="340"/>
      <c r="S406" s="348"/>
      <c r="T406" s="348"/>
      <c r="U406" s="348"/>
      <c r="V406" s="340"/>
      <c r="W406" s="340"/>
      <c r="X406" s="340"/>
      <c r="Y406" s="340"/>
    </row>
    <row r="407" spans="1:25" ht="15" thickBot="1" x14ac:dyDescent="0.3">
      <c r="A407" s="325"/>
      <c r="B407" s="325"/>
      <c r="C407" s="325"/>
      <c r="D407" s="325"/>
      <c r="E407" s="325"/>
      <c r="F407" s="325"/>
      <c r="G407" s="325"/>
      <c r="H407" s="325"/>
      <c r="I407" s="325"/>
      <c r="J407" s="325"/>
      <c r="K407" s="339"/>
      <c r="L407" s="340"/>
      <c r="M407" s="340"/>
      <c r="N407" s="340"/>
      <c r="O407" s="340"/>
      <c r="P407" s="340"/>
      <c r="Q407" s="340"/>
      <c r="R407" s="340"/>
      <c r="S407" s="348"/>
      <c r="T407" s="348"/>
      <c r="U407" s="348"/>
      <c r="V407" s="340"/>
      <c r="W407" s="340"/>
      <c r="X407" s="340"/>
      <c r="Y407" s="340"/>
    </row>
    <row r="408" spans="1:25" ht="15" thickBot="1" x14ac:dyDescent="0.3">
      <c r="A408" s="325"/>
      <c r="B408" s="325"/>
      <c r="C408" s="325"/>
      <c r="D408" s="325"/>
      <c r="E408" s="325"/>
      <c r="F408" s="325"/>
      <c r="G408" s="325"/>
      <c r="H408" s="325"/>
      <c r="I408" s="325"/>
      <c r="J408" s="325"/>
      <c r="K408" s="339"/>
      <c r="L408" s="340"/>
      <c r="M408" s="340"/>
      <c r="N408" s="340"/>
      <c r="O408" s="340"/>
      <c r="P408" s="340"/>
      <c r="Q408" s="340"/>
      <c r="R408" s="340"/>
      <c r="S408" s="348"/>
      <c r="T408" s="348"/>
      <c r="U408" s="348"/>
      <c r="V408" s="340"/>
      <c r="W408" s="340"/>
      <c r="X408" s="340"/>
      <c r="Y408" s="340"/>
    </row>
    <row r="409" spans="1:25" ht="15" thickBot="1" x14ac:dyDescent="0.3">
      <c r="A409" s="325"/>
      <c r="B409" s="325"/>
      <c r="C409" s="325"/>
      <c r="D409" s="325"/>
      <c r="E409" s="325"/>
      <c r="F409" s="325"/>
      <c r="G409" s="325"/>
      <c r="H409" s="325"/>
      <c r="I409" s="325"/>
      <c r="J409" s="325"/>
      <c r="K409" s="339"/>
      <c r="L409" s="340"/>
      <c r="M409" s="340"/>
      <c r="N409" s="340"/>
      <c r="O409" s="340"/>
      <c r="P409" s="340"/>
      <c r="Q409" s="340"/>
      <c r="R409" s="340"/>
      <c r="S409" s="348"/>
      <c r="T409" s="348"/>
      <c r="U409" s="348"/>
      <c r="V409" s="340"/>
      <c r="W409" s="340"/>
      <c r="X409" s="340"/>
      <c r="Y409" s="340"/>
    </row>
    <row r="410" spans="1:25" ht="15" thickBot="1" x14ac:dyDescent="0.3">
      <c r="A410" s="325"/>
      <c r="B410" s="325"/>
      <c r="C410" s="325"/>
      <c r="D410" s="325"/>
      <c r="E410" s="325"/>
      <c r="F410" s="325"/>
      <c r="G410" s="325"/>
      <c r="H410" s="325"/>
      <c r="I410" s="325"/>
      <c r="J410" s="325"/>
      <c r="K410" s="339"/>
      <c r="L410" s="340"/>
      <c r="M410" s="340"/>
      <c r="N410" s="340"/>
      <c r="O410" s="340"/>
      <c r="P410" s="340"/>
      <c r="Q410" s="340"/>
      <c r="R410" s="340"/>
      <c r="S410" s="348"/>
      <c r="T410" s="348"/>
      <c r="U410" s="348"/>
      <c r="V410" s="340"/>
      <c r="W410" s="340"/>
      <c r="X410" s="340"/>
      <c r="Y410" s="340"/>
    </row>
    <row r="411" spans="1:25" ht="15" thickBot="1" x14ac:dyDescent="0.3">
      <c r="A411" s="325"/>
      <c r="B411" s="325"/>
      <c r="C411" s="325"/>
      <c r="D411" s="325"/>
      <c r="E411" s="325"/>
      <c r="F411" s="325"/>
      <c r="G411" s="325"/>
      <c r="H411" s="325"/>
      <c r="I411" s="325"/>
      <c r="J411" s="325"/>
      <c r="K411" s="339"/>
      <c r="L411" s="340"/>
      <c r="M411" s="340"/>
      <c r="N411" s="340"/>
      <c r="O411" s="340"/>
      <c r="P411" s="340"/>
      <c r="Q411" s="340"/>
      <c r="R411" s="340"/>
      <c r="S411" s="348"/>
      <c r="T411" s="348"/>
      <c r="U411" s="348"/>
      <c r="V411" s="340"/>
      <c r="W411" s="340"/>
      <c r="X411" s="340"/>
      <c r="Y411" s="340"/>
    </row>
    <row r="412" spans="1:25" ht="15" thickBot="1" x14ac:dyDescent="0.3">
      <c r="A412" s="325"/>
      <c r="B412" s="325"/>
      <c r="C412" s="325"/>
      <c r="D412" s="325"/>
      <c r="E412" s="325"/>
      <c r="F412" s="325"/>
      <c r="G412" s="325"/>
      <c r="H412" s="325"/>
      <c r="I412" s="325"/>
      <c r="J412" s="325"/>
      <c r="K412" s="339"/>
      <c r="L412" s="340"/>
      <c r="M412" s="340"/>
      <c r="N412" s="340"/>
      <c r="O412" s="340"/>
      <c r="P412" s="340"/>
      <c r="Q412" s="340"/>
      <c r="R412" s="340"/>
      <c r="S412" s="348"/>
      <c r="T412" s="348"/>
      <c r="U412" s="348"/>
      <c r="V412" s="340"/>
      <c r="W412" s="340"/>
      <c r="X412" s="340"/>
      <c r="Y412" s="340"/>
    </row>
    <row r="413" spans="1:25" ht="15" thickBot="1" x14ac:dyDescent="0.3">
      <c r="A413" s="325"/>
      <c r="B413" s="325"/>
      <c r="C413" s="325"/>
      <c r="D413" s="325"/>
      <c r="E413" s="325"/>
      <c r="F413" s="325"/>
      <c r="G413" s="325"/>
      <c r="H413" s="325"/>
      <c r="I413" s="325"/>
      <c r="J413" s="325"/>
      <c r="K413" s="339"/>
      <c r="L413" s="340"/>
      <c r="M413" s="340"/>
      <c r="N413" s="340"/>
      <c r="O413" s="340"/>
      <c r="P413" s="340"/>
      <c r="Q413" s="340"/>
      <c r="R413" s="340"/>
      <c r="S413" s="348"/>
      <c r="T413" s="348"/>
      <c r="U413" s="348"/>
      <c r="V413" s="340"/>
      <c r="W413" s="340"/>
      <c r="X413" s="340"/>
      <c r="Y413" s="340"/>
    </row>
    <row r="414" spans="1:25" ht="15" thickBot="1" x14ac:dyDescent="0.3">
      <c r="A414" s="325"/>
      <c r="B414" s="325"/>
      <c r="C414" s="325"/>
      <c r="D414" s="325"/>
      <c r="E414" s="325"/>
      <c r="F414" s="325"/>
      <c r="G414" s="325"/>
      <c r="H414" s="325"/>
      <c r="I414" s="325"/>
      <c r="J414" s="325"/>
      <c r="K414" s="339"/>
      <c r="L414" s="340"/>
      <c r="M414" s="340"/>
      <c r="N414" s="340"/>
      <c r="O414" s="340"/>
      <c r="P414" s="340"/>
      <c r="Q414" s="340"/>
      <c r="R414" s="340"/>
      <c r="S414" s="348"/>
      <c r="T414" s="348"/>
      <c r="U414" s="348"/>
      <c r="V414" s="340"/>
      <c r="W414" s="340"/>
      <c r="X414" s="340"/>
      <c r="Y414" s="340"/>
    </row>
    <row r="415" spans="1:25" ht="15" thickBot="1" x14ac:dyDescent="0.3">
      <c r="A415" s="325"/>
      <c r="B415" s="325"/>
      <c r="C415" s="325"/>
      <c r="D415" s="325"/>
      <c r="E415" s="325"/>
      <c r="F415" s="325"/>
      <c r="G415" s="325"/>
      <c r="H415" s="325"/>
      <c r="I415" s="325"/>
      <c r="J415" s="325"/>
      <c r="K415" s="339"/>
      <c r="L415" s="340"/>
      <c r="M415" s="340"/>
      <c r="N415" s="340"/>
      <c r="O415" s="340"/>
      <c r="P415" s="340"/>
      <c r="Q415" s="340"/>
      <c r="R415" s="340"/>
      <c r="S415" s="348"/>
      <c r="T415" s="348"/>
      <c r="U415" s="348"/>
      <c r="V415" s="340"/>
      <c r="W415" s="340"/>
      <c r="X415" s="340"/>
      <c r="Y415" s="340"/>
    </row>
    <row r="416" spans="1:25" ht="15" thickBot="1" x14ac:dyDescent="0.3">
      <c r="A416" s="325"/>
      <c r="B416" s="325"/>
      <c r="C416" s="325"/>
      <c r="D416" s="325"/>
      <c r="E416" s="325"/>
      <c r="F416" s="325"/>
      <c r="G416" s="325"/>
      <c r="H416" s="325"/>
      <c r="I416" s="325"/>
      <c r="J416" s="325"/>
      <c r="K416" s="339"/>
      <c r="L416" s="340"/>
      <c r="M416" s="340"/>
      <c r="N416" s="340"/>
      <c r="O416" s="340"/>
      <c r="P416" s="340"/>
      <c r="Q416" s="340"/>
      <c r="R416" s="340"/>
      <c r="S416" s="348"/>
      <c r="T416" s="348"/>
      <c r="U416" s="348"/>
      <c r="V416" s="340"/>
      <c r="W416" s="340"/>
      <c r="X416" s="340"/>
      <c r="Y416" s="340"/>
    </row>
    <row r="417" spans="1:25" ht="15" thickBot="1" x14ac:dyDescent="0.3">
      <c r="A417" s="325"/>
      <c r="B417" s="325"/>
      <c r="C417" s="325"/>
      <c r="D417" s="325"/>
      <c r="E417" s="325"/>
      <c r="F417" s="325"/>
      <c r="G417" s="325"/>
      <c r="H417" s="325"/>
      <c r="I417" s="325"/>
      <c r="J417" s="325"/>
      <c r="K417" s="339"/>
      <c r="L417" s="340"/>
      <c r="M417" s="340"/>
      <c r="N417" s="340"/>
      <c r="O417" s="340"/>
      <c r="P417" s="340"/>
      <c r="Q417" s="340"/>
      <c r="R417" s="340"/>
      <c r="S417" s="348"/>
      <c r="T417" s="348"/>
      <c r="U417" s="348"/>
      <c r="V417" s="340"/>
      <c r="W417" s="340"/>
      <c r="X417" s="340"/>
      <c r="Y417" s="340"/>
    </row>
    <row r="418" spans="1:25" ht="15" thickBot="1" x14ac:dyDescent="0.3">
      <c r="A418" s="325"/>
      <c r="B418" s="325"/>
      <c r="C418" s="325"/>
      <c r="D418" s="325"/>
      <c r="E418" s="325"/>
      <c r="F418" s="325"/>
      <c r="G418" s="325"/>
      <c r="H418" s="325"/>
      <c r="I418" s="325"/>
      <c r="J418" s="325"/>
      <c r="K418" s="339"/>
      <c r="L418" s="340"/>
      <c r="M418" s="340"/>
      <c r="N418" s="340"/>
      <c r="O418" s="340"/>
      <c r="P418" s="340"/>
      <c r="Q418" s="340"/>
      <c r="R418" s="340"/>
      <c r="S418" s="348"/>
      <c r="T418" s="348"/>
      <c r="U418" s="348"/>
      <c r="V418" s="340"/>
      <c r="W418" s="340"/>
      <c r="X418" s="340"/>
      <c r="Y418" s="340"/>
    </row>
    <row r="419" spans="1:25" ht="15" thickBot="1" x14ac:dyDescent="0.3">
      <c r="A419" s="325"/>
      <c r="B419" s="325"/>
      <c r="C419" s="325"/>
      <c r="D419" s="325"/>
      <c r="E419" s="325"/>
      <c r="F419" s="325"/>
      <c r="G419" s="325"/>
      <c r="H419" s="325"/>
      <c r="I419" s="325"/>
      <c r="J419" s="325"/>
      <c r="K419" s="339"/>
      <c r="L419" s="340"/>
      <c r="M419" s="340"/>
      <c r="N419" s="340"/>
      <c r="O419" s="340"/>
      <c r="P419" s="340"/>
      <c r="Q419" s="340"/>
      <c r="R419" s="340"/>
      <c r="S419" s="348"/>
      <c r="T419" s="348"/>
      <c r="U419" s="348"/>
      <c r="V419" s="340"/>
      <c r="W419" s="340"/>
      <c r="X419" s="340"/>
      <c r="Y419" s="340"/>
    </row>
    <row r="420" spans="1:25" ht="15" thickBot="1" x14ac:dyDescent="0.3">
      <c r="A420" s="325"/>
      <c r="B420" s="325"/>
      <c r="C420" s="325"/>
      <c r="D420" s="325"/>
      <c r="E420" s="325"/>
      <c r="F420" s="325"/>
      <c r="G420" s="325"/>
      <c r="H420" s="325"/>
      <c r="I420" s="325"/>
      <c r="J420" s="325"/>
      <c r="K420" s="339"/>
      <c r="L420" s="340"/>
      <c r="M420" s="340"/>
      <c r="N420" s="340"/>
      <c r="O420" s="340"/>
      <c r="P420" s="340"/>
      <c r="Q420" s="340"/>
      <c r="R420" s="340"/>
      <c r="S420" s="348"/>
      <c r="T420" s="348"/>
      <c r="U420" s="348"/>
      <c r="V420" s="340"/>
      <c r="W420" s="340"/>
      <c r="X420" s="340"/>
      <c r="Y420" s="340"/>
    </row>
    <row r="421" spans="1:25" ht="15" thickBot="1" x14ac:dyDescent="0.3">
      <c r="A421" s="325"/>
      <c r="B421" s="325"/>
      <c r="C421" s="325"/>
      <c r="D421" s="325"/>
      <c r="E421" s="325"/>
      <c r="F421" s="325"/>
      <c r="G421" s="325"/>
      <c r="H421" s="325"/>
      <c r="I421" s="325"/>
      <c r="J421" s="325"/>
      <c r="K421" s="339"/>
      <c r="L421" s="340"/>
      <c r="M421" s="340"/>
      <c r="N421" s="340"/>
      <c r="O421" s="340"/>
      <c r="P421" s="340"/>
      <c r="Q421" s="340"/>
      <c r="R421" s="340"/>
      <c r="S421" s="348"/>
      <c r="T421" s="348"/>
      <c r="U421" s="348"/>
      <c r="V421" s="340"/>
      <c r="W421" s="340"/>
      <c r="X421" s="340"/>
      <c r="Y421" s="340"/>
    </row>
    <row r="422" spans="1:25" ht="15" thickBot="1" x14ac:dyDescent="0.3">
      <c r="A422" s="325"/>
      <c r="B422" s="325"/>
      <c r="C422" s="325"/>
      <c r="D422" s="325"/>
      <c r="E422" s="325"/>
      <c r="F422" s="325"/>
      <c r="G422" s="325"/>
      <c r="H422" s="325"/>
      <c r="I422" s="325"/>
      <c r="J422" s="325"/>
      <c r="K422" s="339"/>
      <c r="L422" s="340"/>
      <c r="M422" s="340"/>
      <c r="N422" s="340"/>
      <c r="O422" s="340"/>
      <c r="P422" s="340"/>
      <c r="Q422" s="340"/>
      <c r="R422" s="340"/>
      <c r="S422" s="348"/>
      <c r="T422" s="348"/>
      <c r="U422" s="348"/>
      <c r="V422" s="340"/>
      <c r="W422" s="340"/>
      <c r="X422" s="340"/>
      <c r="Y422" s="340"/>
    </row>
    <row r="423" spans="1:25" ht="15" thickBot="1" x14ac:dyDescent="0.3">
      <c r="A423" s="325"/>
      <c r="B423" s="325"/>
      <c r="C423" s="325"/>
      <c r="D423" s="325"/>
      <c r="E423" s="325"/>
      <c r="F423" s="325"/>
      <c r="G423" s="325"/>
      <c r="H423" s="325"/>
      <c r="I423" s="325"/>
      <c r="J423" s="325"/>
      <c r="K423" s="339"/>
      <c r="L423" s="340"/>
      <c r="M423" s="340"/>
      <c r="N423" s="340"/>
      <c r="O423" s="340"/>
      <c r="P423" s="340"/>
      <c r="Q423" s="340"/>
      <c r="R423" s="340"/>
      <c r="S423" s="348"/>
      <c r="T423" s="348"/>
      <c r="U423" s="348"/>
      <c r="V423" s="340"/>
      <c r="W423" s="340"/>
      <c r="X423" s="340"/>
      <c r="Y423" s="340"/>
    </row>
    <row r="424" spans="1:25" ht="15" thickBot="1" x14ac:dyDescent="0.3">
      <c r="A424" s="325"/>
      <c r="B424" s="325"/>
      <c r="C424" s="325"/>
      <c r="D424" s="325"/>
      <c r="E424" s="325"/>
      <c r="F424" s="325"/>
      <c r="G424" s="325"/>
      <c r="H424" s="325"/>
      <c r="I424" s="325"/>
      <c r="J424" s="325"/>
      <c r="K424" s="339"/>
      <c r="L424" s="340"/>
      <c r="M424" s="340"/>
      <c r="N424" s="340"/>
      <c r="O424" s="340"/>
      <c r="P424" s="340"/>
      <c r="Q424" s="340"/>
      <c r="R424" s="340"/>
      <c r="S424" s="348"/>
      <c r="T424" s="348"/>
      <c r="U424" s="348"/>
      <c r="V424" s="340"/>
      <c r="W424" s="340"/>
      <c r="X424" s="340"/>
      <c r="Y424" s="340"/>
    </row>
    <row r="425" spans="1:25" ht="15" thickBot="1" x14ac:dyDescent="0.3">
      <c r="A425" s="325"/>
      <c r="B425" s="325"/>
      <c r="C425" s="325"/>
      <c r="D425" s="325"/>
      <c r="E425" s="325"/>
      <c r="F425" s="325"/>
      <c r="G425" s="325"/>
      <c r="H425" s="325"/>
      <c r="I425" s="325"/>
      <c r="J425" s="325"/>
      <c r="K425" s="339"/>
      <c r="L425" s="340"/>
      <c r="M425" s="340"/>
      <c r="N425" s="340"/>
      <c r="O425" s="340"/>
      <c r="P425" s="340"/>
      <c r="Q425" s="340"/>
      <c r="R425" s="340"/>
      <c r="S425" s="348"/>
      <c r="T425" s="348"/>
      <c r="U425" s="348"/>
      <c r="V425" s="340"/>
      <c r="W425" s="340"/>
      <c r="X425" s="340"/>
      <c r="Y425" s="340"/>
    </row>
    <row r="426" spans="1:25" ht="15" thickBot="1" x14ac:dyDescent="0.3">
      <c r="A426" s="325"/>
      <c r="B426" s="325"/>
      <c r="C426" s="325"/>
      <c r="D426" s="325"/>
      <c r="E426" s="325"/>
      <c r="F426" s="325"/>
      <c r="G426" s="325"/>
      <c r="H426" s="325"/>
      <c r="I426" s="325"/>
      <c r="J426" s="325"/>
      <c r="K426" s="339"/>
      <c r="L426" s="340"/>
      <c r="M426" s="340"/>
      <c r="N426" s="340"/>
      <c r="O426" s="340"/>
      <c r="P426" s="340"/>
      <c r="Q426" s="340"/>
      <c r="R426" s="340"/>
      <c r="S426" s="348"/>
      <c r="T426" s="348"/>
      <c r="U426" s="348"/>
      <c r="V426" s="340"/>
      <c r="W426" s="340"/>
      <c r="X426" s="340"/>
      <c r="Y426" s="340"/>
    </row>
    <row r="427" spans="1:25" ht="15" thickBot="1" x14ac:dyDescent="0.3">
      <c r="A427" s="325"/>
      <c r="B427" s="325"/>
      <c r="C427" s="325"/>
      <c r="D427" s="325"/>
      <c r="E427" s="325"/>
      <c r="F427" s="325"/>
      <c r="G427" s="325"/>
      <c r="H427" s="325"/>
      <c r="I427" s="325"/>
      <c r="J427" s="325"/>
      <c r="K427" s="339"/>
      <c r="L427" s="340"/>
      <c r="M427" s="340"/>
      <c r="N427" s="340"/>
      <c r="O427" s="340"/>
      <c r="P427" s="340"/>
      <c r="Q427" s="340"/>
      <c r="R427" s="340"/>
      <c r="S427" s="348"/>
      <c r="T427" s="348"/>
      <c r="U427" s="348"/>
      <c r="V427" s="340"/>
      <c r="W427" s="340"/>
      <c r="X427" s="340"/>
      <c r="Y427" s="340"/>
    </row>
    <row r="428" spans="1:25" ht="15" thickBot="1" x14ac:dyDescent="0.3">
      <c r="A428" s="325"/>
      <c r="B428" s="325"/>
      <c r="C428" s="325"/>
      <c r="D428" s="325"/>
      <c r="E428" s="325"/>
      <c r="F428" s="325"/>
      <c r="G428" s="325"/>
      <c r="H428" s="325"/>
      <c r="I428" s="325"/>
      <c r="J428" s="325"/>
      <c r="K428" s="339"/>
      <c r="L428" s="340"/>
      <c r="M428" s="340"/>
      <c r="N428" s="340"/>
      <c r="O428" s="340"/>
      <c r="P428" s="340"/>
      <c r="Q428" s="340"/>
      <c r="R428" s="340"/>
      <c r="S428" s="348"/>
      <c r="T428" s="348"/>
      <c r="U428" s="348"/>
      <c r="V428" s="340"/>
      <c r="W428" s="340"/>
      <c r="X428" s="340"/>
      <c r="Y428" s="340"/>
    </row>
    <row r="429" spans="1:25" ht="15" thickBot="1" x14ac:dyDescent="0.3">
      <c r="A429" s="325"/>
      <c r="B429" s="325"/>
      <c r="C429" s="325"/>
      <c r="D429" s="325"/>
      <c r="E429" s="325"/>
      <c r="F429" s="325"/>
      <c r="G429" s="325"/>
      <c r="H429" s="325"/>
      <c r="I429" s="325"/>
      <c r="J429" s="325"/>
      <c r="K429" s="339"/>
      <c r="L429" s="340"/>
      <c r="M429" s="340"/>
      <c r="N429" s="340"/>
      <c r="O429" s="340"/>
      <c r="P429" s="340"/>
      <c r="Q429" s="340"/>
      <c r="R429" s="340"/>
      <c r="S429" s="348"/>
      <c r="T429" s="348"/>
      <c r="U429" s="348"/>
      <c r="V429" s="340"/>
      <c r="W429" s="340"/>
      <c r="X429" s="340"/>
      <c r="Y429" s="340"/>
    </row>
    <row r="430" spans="1:25" ht="15" thickBot="1" x14ac:dyDescent="0.3">
      <c r="A430" s="325"/>
      <c r="B430" s="325"/>
      <c r="C430" s="325"/>
      <c r="D430" s="325"/>
      <c r="E430" s="325"/>
      <c r="F430" s="325"/>
      <c r="G430" s="325"/>
      <c r="H430" s="325"/>
      <c r="I430" s="325"/>
      <c r="J430" s="325"/>
      <c r="K430" s="339"/>
      <c r="L430" s="340"/>
      <c r="M430" s="340"/>
      <c r="N430" s="340"/>
      <c r="O430" s="340"/>
      <c r="P430" s="340"/>
      <c r="Q430" s="340"/>
      <c r="R430" s="340"/>
      <c r="S430" s="348"/>
      <c r="T430" s="348"/>
      <c r="U430" s="348"/>
      <c r="V430" s="340"/>
      <c r="W430" s="340"/>
      <c r="X430" s="340"/>
      <c r="Y430" s="340"/>
    </row>
    <row r="431" spans="1:25" ht="15" thickBot="1" x14ac:dyDescent="0.3">
      <c r="A431" s="325"/>
      <c r="B431" s="325"/>
      <c r="C431" s="325"/>
      <c r="D431" s="325"/>
      <c r="E431" s="325"/>
      <c r="F431" s="325"/>
      <c r="G431" s="325"/>
      <c r="H431" s="325"/>
      <c r="I431" s="325"/>
      <c r="J431" s="325"/>
      <c r="K431" s="339"/>
      <c r="L431" s="340"/>
      <c r="M431" s="340"/>
      <c r="N431" s="340"/>
      <c r="O431" s="340"/>
      <c r="P431" s="340"/>
      <c r="Q431" s="340"/>
      <c r="R431" s="340"/>
      <c r="S431" s="348"/>
      <c r="T431" s="348"/>
      <c r="U431" s="348"/>
      <c r="V431" s="340"/>
      <c r="W431" s="340"/>
      <c r="X431" s="340"/>
      <c r="Y431" s="340"/>
    </row>
    <row r="432" spans="1:25" ht="15" thickBot="1" x14ac:dyDescent="0.3">
      <c r="A432" s="325"/>
      <c r="B432" s="325"/>
      <c r="C432" s="325"/>
      <c r="D432" s="325"/>
      <c r="E432" s="325"/>
      <c r="F432" s="325"/>
      <c r="G432" s="325"/>
      <c r="H432" s="325"/>
      <c r="I432" s="325"/>
      <c r="J432" s="325"/>
      <c r="K432" s="339"/>
      <c r="L432" s="340"/>
      <c r="M432" s="340"/>
      <c r="N432" s="340"/>
      <c r="O432" s="340"/>
      <c r="P432" s="340"/>
      <c r="Q432" s="340"/>
      <c r="R432" s="340"/>
      <c r="S432" s="348"/>
      <c r="T432" s="348"/>
      <c r="U432" s="348"/>
      <c r="V432" s="340"/>
      <c r="W432" s="340"/>
      <c r="X432" s="340"/>
      <c r="Y432" s="340"/>
    </row>
    <row r="433" spans="1:25" ht="15" thickBot="1" x14ac:dyDescent="0.3">
      <c r="A433" s="325"/>
      <c r="B433" s="325"/>
      <c r="C433" s="325"/>
      <c r="D433" s="325"/>
      <c r="E433" s="325"/>
      <c r="F433" s="325"/>
      <c r="G433" s="325"/>
      <c r="H433" s="325"/>
      <c r="I433" s="325"/>
      <c r="J433" s="325"/>
      <c r="K433" s="339"/>
      <c r="L433" s="340"/>
      <c r="M433" s="340"/>
      <c r="N433" s="340"/>
      <c r="O433" s="340"/>
      <c r="P433" s="340"/>
      <c r="Q433" s="340"/>
      <c r="R433" s="340"/>
      <c r="S433" s="348"/>
      <c r="T433" s="348"/>
      <c r="U433" s="348"/>
      <c r="V433" s="340"/>
      <c r="W433" s="340"/>
      <c r="X433" s="340"/>
      <c r="Y433" s="340"/>
    </row>
    <row r="434" spans="1:25" ht="15" thickBot="1" x14ac:dyDescent="0.3">
      <c r="A434" s="325"/>
      <c r="B434" s="325"/>
      <c r="C434" s="325"/>
      <c r="D434" s="325"/>
      <c r="E434" s="325"/>
      <c r="F434" s="325"/>
      <c r="G434" s="325"/>
      <c r="H434" s="325"/>
      <c r="I434" s="325"/>
      <c r="J434" s="325"/>
      <c r="K434" s="339"/>
      <c r="L434" s="340"/>
      <c r="M434" s="340"/>
      <c r="N434" s="340"/>
      <c r="O434" s="340"/>
      <c r="P434" s="340"/>
      <c r="Q434" s="340"/>
      <c r="R434" s="340"/>
      <c r="S434" s="348"/>
      <c r="T434" s="348"/>
      <c r="U434" s="348"/>
      <c r="V434" s="340"/>
      <c r="W434" s="340"/>
      <c r="X434" s="340"/>
      <c r="Y434" s="340"/>
    </row>
    <row r="435" spans="1:25" ht="15" thickBot="1" x14ac:dyDescent="0.3">
      <c r="A435" s="325"/>
      <c r="B435" s="325"/>
      <c r="C435" s="325"/>
      <c r="D435" s="325"/>
      <c r="E435" s="325"/>
      <c r="F435" s="325"/>
      <c r="G435" s="325"/>
      <c r="H435" s="325"/>
      <c r="I435" s="325"/>
      <c r="J435" s="325"/>
      <c r="K435" s="339"/>
      <c r="L435" s="340"/>
      <c r="M435" s="340"/>
      <c r="N435" s="340"/>
      <c r="O435" s="340"/>
      <c r="P435" s="340"/>
      <c r="Q435" s="340"/>
      <c r="R435" s="340"/>
      <c r="S435" s="348"/>
      <c r="T435" s="348"/>
      <c r="U435" s="348"/>
      <c r="V435" s="340"/>
      <c r="W435" s="340"/>
      <c r="X435" s="340"/>
      <c r="Y435" s="340"/>
    </row>
    <row r="436" spans="1:25" ht="15" thickBot="1" x14ac:dyDescent="0.3">
      <c r="A436" s="325"/>
      <c r="B436" s="325"/>
      <c r="C436" s="325"/>
      <c r="D436" s="325"/>
      <c r="E436" s="325"/>
      <c r="F436" s="325"/>
      <c r="G436" s="325"/>
      <c r="H436" s="325"/>
      <c r="I436" s="325"/>
      <c r="J436" s="325"/>
      <c r="K436" s="339"/>
      <c r="L436" s="340"/>
      <c r="M436" s="340"/>
      <c r="N436" s="340"/>
      <c r="O436" s="340"/>
      <c r="P436" s="340"/>
      <c r="Q436" s="340"/>
      <c r="R436" s="340"/>
      <c r="S436" s="348"/>
      <c r="T436" s="348"/>
      <c r="U436" s="348"/>
      <c r="V436" s="340"/>
      <c r="W436" s="340"/>
      <c r="X436" s="340"/>
      <c r="Y436" s="340"/>
    </row>
    <row r="437" spans="1:25" ht="15" thickBot="1" x14ac:dyDescent="0.3">
      <c r="A437" s="325"/>
      <c r="B437" s="325"/>
      <c r="C437" s="325"/>
      <c r="D437" s="325"/>
      <c r="E437" s="325"/>
      <c r="F437" s="325"/>
      <c r="G437" s="325"/>
      <c r="H437" s="325"/>
      <c r="I437" s="325"/>
      <c r="J437" s="325"/>
      <c r="K437" s="339"/>
      <c r="L437" s="340"/>
      <c r="M437" s="340"/>
      <c r="N437" s="340"/>
      <c r="O437" s="340"/>
      <c r="P437" s="340"/>
      <c r="Q437" s="340"/>
      <c r="R437" s="340"/>
      <c r="S437" s="348"/>
      <c r="T437" s="348"/>
      <c r="U437" s="348"/>
      <c r="V437" s="340"/>
      <c r="W437" s="340"/>
      <c r="X437" s="340"/>
      <c r="Y437" s="340"/>
    </row>
    <row r="438" spans="1:25" ht="15" thickBot="1" x14ac:dyDescent="0.3">
      <c r="A438" s="325"/>
      <c r="B438" s="325"/>
      <c r="C438" s="325"/>
      <c r="D438" s="325"/>
      <c r="E438" s="325"/>
      <c r="F438" s="325"/>
      <c r="G438" s="325"/>
      <c r="H438" s="325"/>
      <c r="I438" s="325"/>
      <c r="J438" s="325"/>
      <c r="K438" s="339"/>
      <c r="L438" s="340"/>
      <c r="M438" s="340"/>
      <c r="N438" s="340"/>
      <c r="O438" s="340"/>
      <c r="P438" s="340"/>
      <c r="Q438" s="340"/>
      <c r="R438" s="340"/>
      <c r="S438" s="348"/>
      <c r="T438" s="348"/>
      <c r="U438" s="348"/>
      <c r="V438" s="340"/>
      <c r="W438" s="340"/>
      <c r="X438" s="340"/>
      <c r="Y438" s="340"/>
    </row>
    <row r="439" spans="1:25" ht="15" thickBot="1" x14ac:dyDescent="0.3">
      <c r="A439" s="325"/>
      <c r="B439" s="325"/>
      <c r="C439" s="325"/>
      <c r="D439" s="325"/>
      <c r="E439" s="325"/>
      <c r="F439" s="325"/>
      <c r="G439" s="325"/>
      <c r="H439" s="325"/>
      <c r="I439" s="325"/>
      <c r="J439" s="325"/>
      <c r="K439" s="339"/>
      <c r="L439" s="340"/>
      <c r="M439" s="340"/>
      <c r="N439" s="340"/>
      <c r="O439" s="340"/>
      <c r="P439" s="340"/>
      <c r="Q439" s="340"/>
      <c r="R439" s="340"/>
      <c r="S439" s="348"/>
      <c r="T439" s="348"/>
      <c r="U439" s="348"/>
      <c r="V439" s="340"/>
      <c r="W439" s="340"/>
      <c r="X439" s="340"/>
      <c r="Y439" s="340"/>
    </row>
    <row r="440" spans="1:25" ht="15" thickBot="1" x14ac:dyDescent="0.3">
      <c r="A440" s="325"/>
      <c r="B440" s="325"/>
      <c r="C440" s="325"/>
      <c r="D440" s="325"/>
      <c r="E440" s="325"/>
      <c r="F440" s="325"/>
      <c r="G440" s="325"/>
      <c r="H440" s="325"/>
      <c r="I440" s="325"/>
      <c r="J440" s="325"/>
      <c r="K440" s="339"/>
      <c r="L440" s="340"/>
      <c r="M440" s="340"/>
      <c r="N440" s="340"/>
      <c r="O440" s="340"/>
      <c r="P440" s="340"/>
      <c r="Q440" s="340"/>
      <c r="R440" s="340"/>
      <c r="S440" s="348"/>
      <c r="T440" s="348"/>
      <c r="U440" s="348"/>
      <c r="V440" s="340"/>
      <c r="W440" s="340"/>
      <c r="X440" s="340"/>
      <c r="Y440" s="340"/>
    </row>
    <row r="441" spans="1:25" ht="15" thickBot="1" x14ac:dyDescent="0.3">
      <c r="A441" s="325"/>
      <c r="B441" s="325"/>
      <c r="C441" s="325"/>
      <c r="D441" s="325"/>
      <c r="E441" s="325"/>
      <c r="F441" s="325"/>
      <c r="G441" s="325"/>
      <c r="H441" s="325"/>
      <c r="I441" s="325"/>
      <c r="J441" s="325"/>
      <c r="K441" s="339"/>
      <c r="L441" s="340"/>
      <c r="M441" s="340"/>
      <c r="N441" s="340"/>
      <c r="O441" s="340"/>
      <c r="P441" s="340"/>
      <c r="Q441" s="340"/>
      <c r="R441" s="340"/>
      <c r="S441" s="348"/>
      <c r="T441" s="348"/>
      <c r="U441" s="348"/>
      <c r="V441" s="340"/>
      <c r="W441" s="340"/>
      <c r="X441" s="340"/>
      <c r="Y441" s="340"/>
    </row>
    <row r="442" spans="1:25" ht="15" thickBot="1" x14ac:dyDescent="0.3">
      <c r="A442" s="325"/>
      <c r="B442" s="325"/>
      <c r="C442" s="325"/>
      <c r="D442" s="325"/>
      <c r="E442" s="325"/>
      <c r="F442" s="325"/>
      <c r="G442" s="325"/>
      <c r="H442" s="325"/>
      <c r="I442" s="325"/>
      <c r="J442" s="325"/>
      <c r="K442" s="339"/>
      <c r="L442" s="340"/>
      <c r="M442" s="340"/>
      <c r="N442" s="340"/>
      <c r="O442" s="340"/>
      <c r="P442" s="340"/>
      <c r="Q442" s="340"/>
      <c r="R442" s="340"/>
      <c r="S442" s="348"/>
      <c r="T442" s="348"/>
      <c r="U442" s="348"/>
      <c r="V442" s="340"/>
      <c r="W442" s="340"/>
      <c r="X442" s="340"/>
      <c r="Y442" s="340"/>
    </row>
    <row r="443" spans="1:25" ht="15" thickBot="1" x14ac:dyDescent="0.3">
      <c r="A443" s="325"/>
      <c r="B443" s="325"/>
      <c r="C443" s="325"/>
      <c r="D443" s="325"/>
      <c r="E443" s="325"/>
      <c r="F443" s="325"/>
      <c r="G443" s="325"/>
      <c r="H443" s="325"/>
      <c r="I443" s="325"/>
      <c r="J443" s="325"/>
      <c r="K443" s="339"/>
      <c r="L443" s="340"/>
      <c r="M443" s="340"/>
      <c r="N443" s="340"/>
      <c r="O443" s="340"/>
      <c r="P443" s="340"/>
      <c r="Q443" s="340"/>
      <c r="R443" s="340"/>
      <c r="S443" s="348"/>
      <c r="T443" s="348"/>
      <c r="U443" s="348"/>
      <c r="V443" s="340"/>
      <c r="W443" s="340"/>
      <c r="X443" s="340"/>
      <c r="Y443" s="340"/>
    </row>
    <row r="444" spans="1:25" ht="15" thickBot="1" x14ac:dyDescent="0.3">
      <c r="A444" s="325"/>
      <c r="B444" s="325"/>
      <c r="C444" s="325"/>
      <c r="D444" s="325"/>
      <c r="E444" s="325"/>
      <c r="F444" s="325"/>
      <c r="G444" s="325"/>
      <c r="H444" s="325"/>
      <c r="I444" s="325"/>
      <c r="J444" s="325"/>
      <c r="K444" s="339"/>
      <c r="L444" s="340"/>
      <c r="M444" s="340"/>
      <c r="N444" s="340"/>
      <c r="O444" s="340"/>
      <c r="P444" s="340"/>
      <c r="Q444" s="340"/>
      <c r="R444" s="340"/>
      <c r="S444" s="348"/>
      <c r="T444" s="348"/>
      <c r="U444" s="348"/>
      <c r="V444" s="340"/>
      <c r="W444" s="340"/>
      <c r="X444" s="340"/>
      <c r="Y444" s="340"/>
    </row>
    <row r="445" spans="1:25" ht="15" thickBot="1" x14ac:dyDescent="0.3">
      <c r="A445" s="325"/>
      <c r="B445" s="325"/>
      <c r="C445" s="325"/>
      <c r="D445" s="325"/>
      <c r="E445" s="325"/>
      <c r="F445" s="325"/>
      <c r="G445" s="325"/>
      <c r="H445" s="325"/>
      <c r="I445" s="325"/>
      <c r="J445" s="325"/>
      <c r="K445" s="339"/>
      <c r="L445" s="340"/>
      <c r="M445" s="340"/>
      <c r="N445" s="340"/>
      <c r="O445" s="340"/>
      <c r="P445" s="340"/>
      <c r="Q445" s="340"/>
      <c r="R445" s="340"/>
      <c r="S445" s="348"/>
      <c r="T445" s="348"/>
      <c r="U445" s="348"/>
      <c r="V445" s="340"/>
      <c r="W445" s="340"/>
      <c r="X445" s="340"/>
      <c r="Y445" s="340"/>
    </row>
    <row r="446" spans="1:25" ht="15" thickBot="1" x14ac:dyDescent="0.3">
      <c r="A446" s="325"/>
      <c r="B446" s="325"/>
      <c r="C446" s="325"/>
      <c r="D446" s="325"/>
      <c r="E446" s="325"/>
      <c r="F446" s="325"/>
      <c r="G446" s="325"/>
      <c r="H446" s="325"/>
      <c r="I446" s="325"/>
      <c r="J446" s="325"/>
      <c r="K446" s="339"/>
      <c r="L446" s="340"/>
      <c r="M446" s="340"/>
      <c r="N446" s="340"/>
      <c r="O446" s="340"/>
      <c r="P446" s="340"/>
      <c r="Q446" s="340"/>
      <c r="R446" s="340"/>
      <c r="S446" s="348"/>
      <c r="T446" s="348"/>
      <c r="U446" s="348"/>
      <c r="V446" s="340"/>
      <c r="W446" s="340"/>
      <c r="X446" s="340"/>
      <c r="Y446" s="340"/>
    </row>
    <row r="447" spans="1:25" ht="15" thickBot="1" x14ac:dyDescent="0.3">
      <c r="A447" s="325"/>
      <c r="B447" s="325"/>
      <c r="C447" s="325"/>
      <c r="D447" s="325"/>
      <c r="E447" s="325"/>
      <c r="F447" s="325"/>
      <c r="G447" s="325"/>
      <c r="H447" s="325"/>
      <c r="I447" s="325"/>
      <c r="J447" s="325"/>
      <c r="K447" s="339"/>
      <c r="L447" s="340"/>
      <c r="M447" s="340"/>
      <c r="N447" s="340"/>
      <c r="O447" s="340"/>
      <c r="P447" s="340"/>
      <c r="Q447" s="340"/>
      <c r="R447" s="340"/>
      <c r="S447" s="348"/>
      <c r="T447" s="348"/>
      <c r="U447" s="348"/>
      <c r="V447" s="340"/>
      <c r="W447" s="340"/>
      <c r="X447" s="340"/>
      <c r="Y447" s="340"/>
    </row>
    <row r="448" spans="1:25" ht="15" thickBot="1" x14ac:dyDescent="0.3">
      <c r="A448" s="325"/>
      <c r="B448" s="325"/>
      <c r="C448" s="325"/>
      <c r="D448" s="325"/>
      <c r="E448" s="325"/>
      <c r="F448" s="325"/>
      <c r="G448" s="325"/>
      <c r="H448" s="325"/>
      <c r="I448" s="325"/>
      <c r="J448" s="325"/>
      <c r="K448" s="339"/>
      <c r="L448" s="340"/>
      <c r="M448" s="340"/>
      <c r="N448" s="340"/>
      <c r="O448" s="340"/>
      <c r="P448" s="340"/>
      <c r="Q448" s="340"/>
      <c r="R448" s="340"/>
      <c r="S448" s="348"/>
      <c r="T448" s="348"/>
      <c r="U448" s="348"/>
      <c r="V448" s="340"/>
      <c r="W448" s="340"/>
      <c r="X448" s="340"/>
      <c r="Y448" s="340"/>
    </row>
    <row r="449" spans="1:25" ht="15" thickBot="1" x14ac:dyDescent="0.3">
      <c r="A449" s="325"/>
      <c r="B449" s="325"/>
      <c r="C449" s="325"/>
      <c r="D449" s="325"/>
      <c r="E449" s="325"/>
      <c r="F449" s="325"/>
      <c r="G449" s="325"/>
      <c r="H449" s="325"/>
      <c r="I449" s="325"/>
      <c r="J449" s="325"/>
      <c r="K449" s="339"/>
      <c r="L449" s="340"/>
      <c r="M449" s="340"/>
      <c r="N449" s="340"/>
      <c r="O449" s="340"/>
      <c r="P449" s="340"/>
      <c r="Q449" s="340"/>
      <c r="R449" s="340"/>
      <c r="S449" s="348"/>
      <c r="T449" s="348"/>
      <c r="U449" s="348"/>
      <c r="V449" s="340"/>
      <c r="W449" s="340"/>
      <c r="X449" s="340"/>
      <c r="Y449" s="340"/>
    </row>
    <row r="450" spans="1:25" ht="15" thickBot="1" x14ac:dyDescent="0.3">
      <c r="A450" s="325"/>
      <c r="B450" s="325"/>
      <c r="C450" s="325"/>
      <c r="D450" s="325"/>
      <c r="E450" s="325"/>
      <c r="F450" s="325"/>
      <c r="G450" s="325"/>
      <c r="H450" s="325"/>
      <c r="I450" s="325"/>
      <c r="J450" s="325"/>
      <c r="K450" s="339"/>
      <c r="L450" s="340"/>
      <c r="M450" s="340"/>
      <c r="N450" s="340"/>
      <c r="O450" s="340"/>
      <c r="P450" s="340"/>
      <c r="Q450" s="340"/>
      <c r="R450" s="340"/>
      <c r="S450" s="348"/>
      <c r="T450" s="348"/>
      <c r="U450" s="348"/>
      <c r="V450" s="340"/>
      <c r="W450" s="340"/>
      <c r="X450" s="340"/>
      <c r="Y450" s="340"/>
    </row>
    <row r="451" spans="1:25" ht="15" thickBot="1" x14ac:dyDescent="0.3">
      <c r="A451" s="325"/>
      <c r="B451" s="325"/>
      <c r="C451" s="325"/>
      <c r="D451" s="325"/>
      <c r="E451" s="325"/>
      <c r="F451" s="325"/>
      <c r="G451" s="325"/>
      <c r="H451" s="325"/>
      <c r="I451" s="325"/>
      <c r="J451" s="325"/>
      <c r="K451" s="339"/>
      <c r="L451" s="340"/>
      <c r="M451" s="340"/>
      <c r="N451" s="340"/>
      <c r="O451" s="340"/>
      <c r="P451" s="340"/>
      <c r="Q451" s="340"/>
      <c r="R451" s="340"/>
      <c r="S451" s="348"/>
      <c r="T451" s="348"/>
      <c r="U451" s="348"/>
      <c r="V451" s="340"/>
      <c r="W451" s="340"/>
      <c r="X451" s="340"/>
      <c r="Y451" s="340"/>
    </row>
    <row r="452" spans="1:25" ht="15" thickBot="1" x14ac:dyDescent="0.3">
      <c r="A452" s="325"/>
      <c r="B452" s="325"/>
      <c r="C452" s="325"/>
      <c r="D452" s="325"/>
      <c r="E452" s="325"/>
      <c r="F452" s="325"/>
      <c r="G452" s="325"/>
      <c r="H452" s="325"/>
      <c r="I452" s="325"/>
      <c r="J452" s="325"/>
      <c r="K452" s="339"/>
      <c r="L452" s="340"/>
      <c r="M452" s="340"/>
      <c r="N452" s="340"/>
      <c r="O452" s="340"/>
      <c r="P452" s="340"/>
      <c r="Q452" s="340"/>
      <c r="R452" s="340"/>
      <c r="S452" s="348"/>
      <c r="T452" s="348"/>
      <c r="U452" s="348"/>
      <c r="V452" s="340"/>
      <c r="W452" s="340"/>
      <c r="X452" s="340"/>
      <c r="Y452" s="340"/>
    </row>
    <row r="453" spans="1:25" ht="15" thickBot="1" x14ac:dyDescent="0.3">
      <c r="A453" s="325"/>
      <c r="B453" s="325"/>
      <c r="C453" s="325"/>
      <c r="D453" s="325"/>
      <c r="E453" s="325"/>
      <c r="F453" s="325"/>
      <c r="G453" s="325"/>
      <c r="H453" s="325"/>
      <c r="I453" s="325"/>
      <c r="J453" s="325"/>
      <c r="K453" s="339"/>
      <c r="L453" s="340"/>
      <c r="M453" s="340"/>
      <c r="N453" s="340"/>
      <c r="O453" s="340"/>
      <c r="P453" s="340"/>
      <c r="Q453" s="340"/>
      <c r="R453" s="340"/>
      <c r="S453" s="348"/>
      <c r="T453" s="348"/>
      <c r="U453" s="348"/>
      <c r="V453" s="340"/>
      <c r="W453" s="340"/>
      <c r="X453" s="340"/>
      <c r="Y453" s="340"/>
    </row>
    <row r="454" spans="1:25" ht="15" thickBot="1" x14ac:dyDescent="0.3">
      <c r="A454" s="325"/>
      <c r="B454" s="325"/>
      <c r="C454" s="325"/>
      <c r="D454" s="325"/>
      <c r="E454" s="325"/>
      <c r="F454" s="325"/>
      <c r="G454" s="325"/>
      <c r="H454" s="325"/>
      <c r="I454" s="325"/>
      <c r="J454" s="325"/>
      <c r="K454" s="339"/>
      <c r="L454" s="340"/>
      <c r="M454" s="340"/>
      <c r="N454" s="340"/>
      <c r="O454" s="340"/>
      <c r="P454" s="340"/>
      <c r="Q454" s="340"/>
      <c r="R454" s="340"/>
      <c r="S454" s="348"/>
      <c r="T454" s="348"/>
      <c r="U454" s="348"/>
      <c r="V454" s="340"/>
      <c r="W454" s="340"/>
      <c r="X454" s="340"/>
      <c r="Y454" s="340"/>
    </row>
    <row r="455" spans="1:25" ht="15" thickBot="1" x14ac:dyDescent="0.3">
      <c r="A455" s="325"/>
      <c r="B455" s="325"/>
      <c r="C455" s="325"/>
      <c r="D455" s="325"/>
      <c r="E455" s="325"/>
      <c r="F455" s="325"/>
      <c r="G455" s="325"/>
      <c r="H455" s="325"/>
      <c r="I455" s="325"/>
      <c r="J455" s="325"/>
      <c r="K455" s="339"/>
      <c r="L455" s="340"/>
      <c r="M455" s="340"/>
      <c r="N455" s="340"/>
      <c r="O455" s="340"/>
      <c r="P455" s="340"/>
      <c r="Q455" s="340"/>
      <c r="R455" s="340"/>
      <c r="S455" s="348"/>
      <c r="T455" s="348"/>
      <c r="U455" s="348"/>
      <c r="V455" s="340"/>
      <c r="W455" s="340"/>
      <c r="X455" s="340"/>
      <c r="Y455" s="340"/>
    </row>
    <row r="456" spans="1:25" ht="15" thickBot="1" x14ac:dyDescent="0.3">
      <c r="A456" s="325"/>
      <c r="B456" s="325"/>
      <c r="C456" s="325"/>
      <c r="D456" s="325"/>
      <c r="E456" s="325"/>
      <c r="F456" s="325"/>
      <c r="G456" s="325"/>
      <c r="H456" s="325"/>
      <c r="I456" s="325"/>
      <c r="J456" s="325"/>
      <c r="K456" s="339"/>
      <c r="L456" s="340"/>
      <c r="M456" s="340"/>
      <c r="N456" s="340"/>
      <c r="O456" s="340"/>
      <c r="P456" s="340"/>
      <c r="Q456" s="340"/>
      <c r="R456" s="340"/>
      <c r="S456" s="348"/>
      <c r="T456" s="348"/>
      <c r="U456" s="348"/>
      <c r="V456" s="340"/>
      <c r="W456" s="340"/>
      <c r="X456" s="340"/>
      <c r="Y456" s="340"/>
    </row>
    <row r="457" spans="1:25" ht="15" thickBot="1" x14ac:dyDescent="0.3">
      <c r="A457" s="325"/>
      <c r="B457" s="325"/>
      <c r="C457" s="325"/>
      <c r="D457" s="325"/>
      <c r="E457" s="325"/>
      <c r="F457" s="325"/>
      <c r="G457" s="325"/>
      <c r="H457" s="325"/>
      <c r="I457" s="325"/>
      <c r="J457" s="325"/>
      <c r="K457" s="339"/>
      <c r="L457" s="340"/>
      <c r="M457" s="340"/>
      <c r="N457" s="340"/>
      <c r="O457" s="340"/>
      <c r="P457" s="340"/>
      <c r="Q457" s="340"/>
      <c r="R457" s="340"/>
      <c r="S457" s="348"/>
      <c r="T457" s="348"/>
      <c r="U457" s="348"/>
      <c r="V457" s="340"/>
      <c r="W457" s="340"/>
      <c r="X457" s="340"/>
      <c r="Y457" s="340"/>
    </row>
    <row r="458" spans="1:25" ht="15" thickBot="1" x14ac:dyDescent="0.3">
      <c r="A458" s="325"/>
      <c r="B458" s="325"/>
      <c r="C458" s="325"/>
      <c r="D458" s="325"/>
      <c r="E458" s="325"/>
      <c r="F458" s="325"/>
      <c r="G458" s="325"/>
      <c r="H458" s="325"/>
      <c r="I458" s="325"/>
      <c r="J458" s="325"/>
      <c r="K458" s="339"/>
      <c r="L458" s="340"/>
      <c r="M458" s="340"/>
      <c r="N458" s="340"/>
      <c r="O458" s="340"/>
      <c r="P458" s="340"/>
      <c r="Q458" s="340"/>
      <c r="R458" s="340"/>
      <c r="S458" s="348"/>
      <c r="T458" s="348"/>
      <c r="U458" s="348"/>
      <c r="V458" s="340"/>
      <c r="W458" s="340"/>
      <c r="X458" s="340"/>
      <c r="Y458" s="340"/>
    </row>
    <row r="459" spans="1:25" ht="15" thickBot="1" x14ac:dyDescent="0.3">
      <c r="A459" s="325"/>
      <c r="B459" s="325"/>
      <c r="C459" s="325"/>
      <c r="D459" s="325"/>
      <c r="E459" s="325"/>
      <c r="F459" s="325"/>
      <c r="G459" s="325"/>
      <c r="H459" s="325"/>
      <c r="I459" s="325"/>
      <c r="J459" s="325"/>
      <c r="K459" s="339"/>
      <c r="L459" s="340"/>
      <c r="M459" s="340"/>
      <c r="N459" s="340"/>
      <c r="O459" s="340"/>
      <c r="P459" s="340"/>
      <c r="Q459" s="340"/>
      <c r="R459" s="340"/>
      <c r="S459" s="348"/>
      <c r="T459" s="348"/>
      <c r="U459" s="348"/>
      <c r="V459" s="340"/>
      <c r="W459" s="340"/>
      <c r="X459" s="340"/>
      <c r="Y459" s="340"/>
    </row>
    <row r="460" spans="1:25" ht="15" thickBot="1" x14ac:dyDescent="0.3">
      <c r="A460" s="325"/>
      <c r="B460" s="325"/>
      <c r="C460" s="325"/>
      <c r="D460" s="325"/>
      <c r="E460" s="325"/>
      <c r="F460" s="325"/>
      <c r="G460" s="325"/>
      <c r="H460" s="325"/>
      <c r="I460" s="325"/>
      <c r="J460" s="325"/>
      <c r="K460" s="339"/>
      <c r="L460" s="340"/>
      <c r="M460" s="340"/>
      <c r="N460" s="340"/>
      <c r="O460" s="340"/>
      <c r="P460" s="340"/>
      <c r="Q460" s="340"/>
      <c r="R460" s="340"/>
      <c r="S460" s="348"/>
      <c r="T460" s="348"/>
      <c r="U460" s="348"/>
      <c r="V460" s="340"/>
      <c r="W460" s="340"/>
      <c r="X460" s="340"/>
      <c r="Y460" s="340"/>
    </row>
    <row r="461" spans="1:25" ht="15" thickBot="1" x14ac:dyDescent="0.3">
      <c r="A461" s="325"/>
      <c r="B461" s="325"/>
      <c r="C461" s="325"/>
      <c r="D461" s="325"/>
      <c r="E461" s="325"/>
      <c r="F461" s="325"/>
      <c r="G461" s="325"/>
      <c r="H461" s="325"/>
      <c r="I461" s="325"/>
      <c r="J461" s="325"/>
      <c r="K461" s="339"/>
      <c r="L461" s="340"/>
      <c r="M461" s="340"/>
      <c r="N461" s="340"/>
      <c r="O461" s="340"/>
      <c r="P461" s="340"/>
      <c r="Q461" s="340"/>
      <c r="R461" s="340"/>
      <c r="S461" s="348"/>
      <c r="T461" s="348"/>
      <c r="U461" s="348"/>
      <c r="V461" s="340"/>
      <c r="W461" s="340"/>
      <c r="X461" s="340"/>
      <c r="Y461" s="340"/>
    </row>
    <row r="462" spans="1:25" ht="15" thickBot="1" x14ac:dyDescent="0.3">
      <c r="A462" s="325"/>
      <c r="B462" s="325"/>
      <c r="C462" s="325"/>
      <c r="D462" s="325"/>
      <c r="E462" s="325"/>
      <c r="F462" s="325"/>
      <c r="G462" s="325"/>
      <c r="H462" s="325"/>
      <c r="I462" s="325"/>
      <c r="J462" s="325"/>
      <c r="K462" s="339"/>
      <c r="L462" s="340"/>
      <c r="M462" s="340"/>
      <c r="N462" s="340"/>
      <c r="O462" s="340"/>
      <c r="P462" s="340"/>
      <c r="Q462" s="340"/>
      <c r="R462" s="340"/>
      <c r="S462" s="348"/>
      <c r="T462" s="348"/>
      <c r="U462" s="348"/>
      <c r="V462" s="340"/>
      <c r="W462" s="340"/>
      <c r="X462" s="340"/>
      <c r="Y462" s="340"/>
    </row>
    <row r="463" spans="1:25" ht="15" thickBot="1" x14ac:dyDescent="0.3">
      <c r="A463" s="325"/>
      <c r="B463" s="325"/>
      <c r="C463" s="325"/>
      <c r="D463" s="325"/>
      <c r="E463" s="325"/>
      <c r="F463" s="325"/>
      <c r="G463" s="325"/>
      <c r="H463" s="325"/>
      <c r="I463" s="325"/>
      <c r="J463" s="325"/>
      <c r="K463" s="339"/>
      <c r="L463" s="340"/>
      <c r="M463" s="340"/>
      <c r="N463" s="340"/>
      <c r="O463" s="340"/>
      <c r="P463" s="340"/>
      <c r="Q463" s="340"/>
      <c r="R463" s="340"/>
      <c r="S463" s="348"/>
      <c r="T463" s="348"/>
      <c r="U463" s="348"/>
      <c r="V463" s="340"/>
      <c r="W463" s="340"/>
      <c r="X463" s="340"/>
      <c r="Y463" s="340"/>
    </row>
    <row r="464" spans="1:25" ht="15" thickBot="1" x14ac:dyDescent="0.3">
      <c r="A464" s="325"/>
      <c r="B464" s="325"/>
      <c r="C464" s="325"/>
      <c r="D464" s="325"/>
      <c r="E464" s="325"/>
      <c r="F464" s="325"/>
      <c r="G464" s="325"/>
      <c r="H464" s="325"/>
      <c r="I464" s="325"/>
      <c r="J464" s="325"/>
      <c r="K464" s="339"/>
      <c r="L464" s="340"/>
      <c r="M464" s="340"/>
      <c r="N464" s="340"/>
      <c r="O464" s="340"/>
      <c r="P464" s="340"/>
      <c r="Q464" s="340"/>
      <c r="R464" s="340"/>
      <c r="S464" s="348"/>
      <c r="T464" s="348"/>
      <c r="U464" s="348"/>
      <c r="V464" s="340"/>
      <c r="W464" s="340"/>
      <c r="X464" s="340"/>
      <c r="Y464" s="340"/>
    </row>
    <row r="465" spans="1:25" ht="15" thickBot="1" x14ac:dyDescent="0.3">
      <c r="A465" s="325"/>
      <c r="B465" s="325"/>
      <c r="C465" s="325"/>
      <c r="D465" s="325"/>
      <c r="E465" s="325"/>
      <c r="F465" s="325"/>
      <c r="G465" s="325"/>
      <c r="H465" s="325"/>
      <c r="I465" s="325"/>
      <c r="J465" s="325"/>
      <c r="K465" s="339"/>
      <c r="L465" s="340"/>
      <c r="M465" s="340"/>
      <c r="N465" s="340"/>
      <c r="O465" s="340"/>
      <c r="P465" s="340"/>
      <c r="Q465" s="340"/>
      <c r="R465" s="340"/>
      <c r="S465" s="348"/>
      <c r="T465" s="348"/>
      <c r="U465" s="348"/>
      <c r="V465" s="340"/>
      <c r="W465" s="340"/>
      <c r="X465" s="340"/>
      <c r="Y465" s="340"/>
    </row>
    <row r="466" spans="1:25" ht="15" thickBot="1" x14ac:dyDescent="0.3">
      <c r="A466" s="325"/>
      <c r="B466" s="325"/>
      <c r="C466" s="325"/>
      <c r="D466" s="325"/>
      <c r="E466" s="325"/>
      <c r="F466" s="325"/>
      <c r="G466" s="325"/>
      <c r="H466" s="325"/>
      <c r="I466" s="325"/>
      <c r="J466" s="325"/>
      <c r="K466" s="339"/>
      <c r="L466" s="340"/>
      <c r="M466" s="340"/>
      <c r="N466" s="340"/>
      <c r="O466" s="340"/>
      <c r="P466" s="340"/>
      <c r="Q466" s="340"/>
      <c r="R466" s="340"/>
      <c r="S466" s="348"/>
      <c r="T466" s="348"/>
      <c r="U466" s="348"/>
      <c r="V466" s="340"/>
      <c r="W466" s="340"/>
      <c r="X466" s="340"/>
      <c r="Y466" s="340"/>
    </row>
    <row r="467" spans="1:25" ht="15" thickBot="1" x14ac:dyDescent="0.3">
      <c r="A467" s="325"/>
      <c r="B467" s="325"/>
      <c r="C467" s="325"/>
      <c r="D467" s="325"/>
      <c r="E467" s="325"/>
      <c r="F467" s="325"/>
      <c r="G467" s="325"/>
      <c r="H467" s="325"/>
      <c r="I467" s="325"/>
      <c r="J467" s="325"/>
      <c r="K467" s="339"/>
      <c r="L467" s="340"/>
      <c r="M467" s="340"/>
      <c r="N467" s="340"/>
      <c r="O467" s="340"/>
      <c r="P467" s="340"/>
      <c r="Q467" s="340"/>
      <c r="R467" s="340"/>
      <c r="S467" s="348"/>
      <c r="T467" s="348"/>
      <c r="U467" s="348"/>
      <c r="V467" s="340"/>
      <c r="W467" s="340"/>
      <c r="X467" s="340"/>
      <c r="Y467" s="340"/>
    </row>
    <row r="468" spans="1:25" ht="15" thickBot="1" x14ac:dyDescent="0.3">
      <c r="A468" s="325"/>
      <c r="B468" s="325"/>
      <c r="C468" s="325"/>
      <c r="D468" s="325"/>
      <c r="E468" s="325"/>
      <c r="F468" s="325"/>
      <c r="G468" s="325"/>
      <c r="H468" s="325"/>
      <c r="I468" s="325"/>
      <c r="J468" s="325"/>
      <c r="K468" s="339"/>
      <c r="L468" s="340"/>
      <c r="M468" s="340"/>
      <c r="N468" s="340"/>
      <c r="O468" s="340"/>
      <c r="P468" s="340"/>
      <c r="Q468" s="340"/>
      <c r="R468" s="340"/>
      <c r="S468" s="348"/>
      <c r="T468" s="348"/>
      <c r="U468" s="348"/>
      <c r="V468" s="340"/>
      <c r="W468" s="340"/>
      <c r="X468" s="340"/>
      <c r="Y468" s="340"/>
    </row>
    <row r="469" spans="1:25" ht="15" thickBot="1" x14ac:dyDescent="0.3">
      <c r="A469" s="325"/>
      <c r="B469" s="325"/>
      <c r="C469" s="325"/>
      <c r="D469" s="325"/>
      <c r="E469" s="325"/>
      <c r="F469" s="325"/>
      <c r="G469" s="325"/>
      <c r="H469" s="325"/>
      <c r="I469" s="325"/>
      <c r="J469" s="325"/>
      <c r="K469" s="339"/>
      <c r="L469" s="340"/>
      <c r="M469" s="340"/>
      <c r="N469" s="340"/>
      <c r="O469" s="340"/>
      <c r="P469" s="340"/>
      <c r="Q469" s="340"/>
      <c r="R469" s="340"/>
      <c r="S469" s="348"/>
      <c r="T469" s="348"/>
      <c r="U469" s="348"/>
      <c r="V469" s="340"/>
      <c r="W469" s="340"/>
      <c r="X469" s="340"/>
      <c r="Y469" s="340"/>
    </row>
    <row r="470" spans="1:25" ht="15" thickBot="1" x14ac:dyDescent="0.3">
      <c r="A470" s="325"/>
      <c r="B470" s="325"/>
      <c r="C470" s="325"/>
      <c r="D470" s="325"/>
      <c r="E470" s="325"/>
      <c r="F470" s="325"/>
      <c r="G470" s="325"/>
      <c r="H470" s="325"/>
      <c r="I470" s="325"/>
      <c r="J470" s="325"/>
      <c r="K470" s="339"/>
      <c r="L470" s="340"/>
      <c r="M470" s="340"/>
      <c r="N470" s="340"/>
      <c r="O470" s="340"/>
      <c r="P470" s="340"/>
      <c r="Q470" s="340"/>
      <c r="R470" s="340"/>
      <c r="S470" s="348"/>
      <c r="T470" s="348"/>
      <c r="U470" s="348"/>
      <c r="V470" s="340"/>
      <c r="W470" s="340"/>
      <c r="X470" s="340"/>
      <c r="Y470" s="340"/>
    </row>
    <row r="471" spans="1:25" ht="15" thickBot="1" x14ac:dyDescent="0.3">
      <c r="A471" s="325"/>
      <c r="B471" s="325"/>
      <c r="C471" s="325"/>
      <c r="D471" s="325"/>
      <c r="E471" s="325"/>
      <c r="F471" s="325"/>
      <c r="G471" s="325"/>
      <c r="H471" s="325"/>
      <c r="I471" s="325"/>
      <c r="J471" s="325"/>
      <c r="K471" s="339"/>
      <c r="L471" s="340"/>
      <c r="M471" s="340"/>
      <c r="N471" s="340"/>
      <c r="O471" s="340"/>
      <c r="P471" s="340"/>
      <c r="Q471" s="340"/>
      <c r="R471" s="340"/>
      <c r="S471" s="348"/>
      <c r="T471" s="348"/>
      <c r="U471" s="348"/>
      <c r="V471" s="340"/>
      <c r="W471" s="340"/>
      <c r="X471" s="340"/>
      <c r="Y471" s="340"/>
    </row>
    <row r="472" spans="1:25" ht="15" thickBot="1" x14ac:dyDescent="0.3">
      <c r="A472" s="325"/>
      <c r="B472" s="325"/>
      <c r="C472" s="325"/>
      <c r="D472" s="325"/>
      <c r="E472" s="325"/>
      <c r="F472" s="325"/>
      <c r="G472" s="325"/>
      <c r="H472" s="325"/>
      <c r="I472" s="325"/>
      <c r="J472" s="325"/>
      <c r="K472" s="339"/>
      <c r="L472" s="340"/>
      <c r="M472" s="340"/>
      <c r="N472" s="340"/>
      <c r="O472" s="340"/>
      <c r="P472" s="340"/>
      <c r="Q472" s="340"/>
      <c r="R472" s="340"/>
      <c r="S472" s="348"/>
      <c r="T472" s="348"/>
      <c r="U472" s="348"/>
      <c r="V472" s="340"/>
      <c r="W472" s="340"/>
      <c r="X472" s="340"/>
      <c r="Y472" s="340"/>
    </row>
    <row r="473" spans="1:25" ht="15" thickBot="1" x14ac:dyDescent="0.3">
      <c r="A473" s="325"/>
      <c r="B473" s="325"/>
      <c r="C473" s="325"/>
      <c r="D473" s="325"/>
      <c r="E473" s="325"/>
      <c r="F473" s="325"/>
      <c r="G473" s="325"/>
      <c r="H473" s="325"/>
      <c r="I473" s="325"/>
      <c r="J473" s="325"/>
      <c r="K473" s="339"/>
      <c r="L473" s="340"/>
      <c r="M473" s="340"/>
      <c r="N473" s="340"/>
      <c r="O473" s="340"/>
      <c r="P473" s="340"/>
      <c r="Q473" s="340"/>
      <c r="R473" s="340"/>
      <c r="S473" s="348"/>
      <c r="T473" s="348"/>
      <c r="U473" s="348"/>
      <c r="V473" s="340"/>
      <c r="W473" s="340"/>
      <c r="X473" s="340"/>
      <c r="Y473" s="340"/>
    </row>
    <row r="474" spans="1:25" ht="15" thickBot="1" x14ac:dyDescent="0.3">
      <c r="A474" s="325"/>
      <c r="B474" s="325"/>
      <c r="C474" s="325"/>
      <c r="D474" s="325"/>
      <c r="E474" s="325"/>
      <c r="F474" s="325"/>
      <c r="G474" s="325"/>
      <c r="H474" s="325"/>
      <c r="I474" s="325"/>
      <c r="J474" s="325"/>
      <c r="K474" s="339"/>
      <c r="L474" s="340"/>
      <c r="M474" s="340"/>
      <c r="N474" s="340"/>
      <c r="O474" s="340"/>
      <c r="P474" s="340"/>
      <c r="Q474" s="340"/>
      <c r="R474" s="340"/>
      <c r="S474" s="348"/>
      <c r="T474" s="348"/>
      <c r="U474" s="348"/>
      <c r="V474" s="340"/>
      <c r="W474" s="340"/>
      <c r="X474" s="340"/>
      <c r="Y474" s="340"/>
    </row>
    <row r="475" spans="1:25" ht="15" thickBot="1" x14ac:dyDescent="0.3">
      <c r="A475" s="325"/>
      <c r="B475" s="325"/>
      <c r="C475" s="325"/>
      <c r="D475" s="325"/>
      <c r="E475" s="325"/>
      <c r="F475" s="325"/>
      <c r="G475" s="325"/>
      <c r="H475" s="325"/>
      <c r="I475" s="325"/>
      <c r="J475" s="325"/>
      <c r="K475" s="339"/>
      <c r="L475" s="340"/>
      <c r="M475" s="340"/>
      <c r="N475" s="340"/>
      <c r="O475" s="340"/>
      <c r="P475" s="340"/>
      <c r="Q475" s="340"/>
      <c r="R475" s="340"/>
      <c r="S475" s="348"/>
      <c r="T475" s="348"/>
      <c r="U475" s="348"/>
      <c r="V475" s="340"/>
      <c r="W475" s="340"/>
      <c r="X475" s="340"/>
      <c r="Y475" s="340"/>
    </row>
    <row r="476" spans="1:25" ht="15" thickBot="1" x14ac:dyDescent="0.3">
      <c r="A476" s="325"/>
      <c r="B476" s="325"/>
      <c r="C476" s="325"/>
      <c r="D476" s="325"/>
      <c r="E476" s="325"/>
      <c r="F476" s="325"/>
      <c r="G476" s="325"/>
      <c r="H476" s="325"/>
      <c r="I476" s="325"/>
      <c r="J476" s="325"/>
      <c r="K476" s="339"/>
      <c r="L476" s="340"/>
      <c r="M476" s="340"/>
      <c r="N476" s="340"/>
      <c r="O476" s="340"/>
      <c r="P476" s="340"/>
      <c r="Q476" s="340"/>
      <c r="R476" s="340"/>
      <c r="S476" s="348"/>
      <c r="T476" s="348"/>
      <c r="U476" s="348"/>
      <c r="V476" s="340"/>
      <c r="W476" s="340"/>
      <c r="X476" s="340"/>
      <c r="Y476" s="340"/>
    </row>
    <row r="477" spans="1:25" ht="15" thickBot="1" x14ac:dyDescent="0.3">
      <c r="A477" s="325"/>
      <c r="B477" s="325"/>
      <c r="C477" s="325"/>
      <c r="D477" s="325"/>
      <c r="E477" s="325"/>
      <c r="F477" s="325"/>
      <c r="G477" s="325"/>
      <c r="H477" s="325"/>
      <c r="I477" s="325"/>
      <c r="J477" s="325"/>
      <c r="K477" s="339"/>
      <c r="L477" s="340"/>
      <c r="M477" s="340"/>
      <c r="N477" s="340"/>
      <c r="O477" s="340"/>
      <c r="P477" s="340"/>
      <c r="Q477" s="340"/>
      <c r="R477" s="340"/>
      <c r="S477" s="348"/>
      <c r="T477" s="348"/>
      <c r="U477" s="348"/>
      <c r="V477" s="340"/>
      <c r="W477" s="340"/>
      <c r="X477" s="340"/>
      <c r="Y477" s="340"/>
    </row>
    <row r="478" spans="1:25" ht="15" thickBot="1" x14ac:dyDescent="0.3">
      <c r="A478" s="325"/>
      <c r="B478" s="325"/>
      <c r="C478" s="325"/>
      <c r="D478" s="325"/>
      <c r="E478" s="325"/>
      <c r="F478" s="325"/>
      <c r="G478" s="325"/>
      <c r="H478" s="325"/>
      <c r="I478" s="325"/>
      <c r="J478" s="325"/>
      <c r="K478" s="339"/>
      <c r="L478" s="340"/>
      <c r="M478" s="340"/>
      <c r="N478" s="340"/>
      <c r="O478" s="340"/>
      <c r="P478" s="340"/>
      <c r="Q478" s="340"/>
      <c r="R478" s="340"/>
      <c r="S478" s="348"/>
      <c r="T478" s="348"/>
      <c r="U478" s="348"/>
      <c r="V478" s="340"/>
      <c r="W478" s="340"/>
      <c r="X478" s="340"/>
      <c r="Y478" s="340"/>
    </row>
    <row r="479" spans="1:25" ht="15" thickBot="1" x14ac:dyDescent="0.3">
      <c r="A479" s="325"/>
      <c r="B479" s="325"/>
      <c r="C479" s="325"/>
      <c r="D479" s="325"/>
      <c r="E479" s="325"/>
      <c r="F479" s="325"/>
      <c r="G479" s="325"/>
      <c r="H479" s="325"/>
      <c r="I479" s="325"/>
      <c r="J479" s="325"/>
      <c r="K479" s="339"/>
      <c r="L479" s="340"/>
      <c r="M479" s="340"/>
      <c r="N479" s="340"/>
      <c r="O479" s="340"/>
      <c r="P479" s="340"/>
      <c r="Q479" s="340"/>
      <c r="R479" s="340"/>
      <c r="S479" s="348"/>
      <c r="T479" s="348"/>
      <c r="U479" s="348"/>
      <c r="V479" s="340"/>
      <c r="W479" s="340"/>
      <c r="X479" s="340"/>
      <c r="Y479" s="340"/>
    </row>
    <row r="480" spans="1:25" ht="15" thickBot="1" x14ac:dyDescent="0.3">
      <c r="A480" s="325"/>
      <c r="B480" s="325"/>
      <c r="C480" s="325"/>
      <c r="D480" s="325"/>
      <c r="E480" s="325"/>
      <c r="F480" s="325"/>
      <c r="G480" s="325"/>
      <c r="H480" s="325"/>
      <c r="I480" s="325"/>
      <c r="J480" s="325"/>
      <c r="K480" s="339"/>
      <c r="L480" s="340"/>
      <c r="M480" s="340"/>
      <c r="N480" s="340"/>
      <c r="O480" s="340"/>
      <c r="P480" s="340"/>
      <c r="Q480" s="340"/>
      <c r="R480" s="340"/>
      <c r="S480" s="348"/>
      <c r="T480" s="348"/>
      <c r="U480" s="348"/>
      <c r="V480" s="340"/>
      <c r="W480" s="340"/>
      <c r="X480" s="340"/>
      <c r="Y480" s="340"/>
    </row>
    <row r="481" spans="1:25" ht="15" thickBot="1" x14ac:dyDescent="0.3">
      <c r="A481" s="325"/>
      <c r="B481" s="325"/>
      <c r="C481" s="325"/>
      <c r="D481" s="325"/>
      <c r="E481" s="325"/>
      <c r="F481" s="325"/>
      <c r="G481" s="325"/>
      <c r="H481" s="325"/>
      <c r="I481" s="325"/>
      <c r="J481" s="325"/>
      <c r="K481" s="339"/>
      <c r="L481" s="340"/>
      <c r="M481" s="340"/>
      <c r="N481" s="340"/>
      <c r="O481" s="340"/>
      <c r="P481" s="340"/>
      <c r="Q481" s="340"/>
      <c r="R481" s="340"/>
      <c r="S481" s="348"/>
      <c r="T481" s="348"/>
      <c r="U481" s="348"/>
      <c r="V481" s="340"/>
      <c r="W481" s="340"/>
      <c r="X481" s="340"/>
      <c r="Y481" s="340"/>
    </row>
    <row r="482" spans="1:25" ht="15" thickBot="1" x14ac:dyDescent="0.3">
      <c r="A482" s="325"/>
      <c r="B482" s="325"/>
      <c r="C482" s="325"/>
      <c r="D482" s="325"/>
      <c r="E482" s="325"/>
      <c r="F482" s="325"/>
      <c r="G482" s="325"/>
      <c r="H482" s="325"/>
      <c r="I482" s="325"/>
      <c r="J482" s="325"/>
      <c r="K482" s="339"/>
      <c r="L482" s="340"/>
      <c r="M482" s="340"/>
      <c r="N482" s="340"/>
      <c r="O482" s="340"/>
      <c r="P482" s="340"/>
      <c r="Q482" s="340"/>
      <c r="R482" s="340"/>
      <c r="S482" s="348"/>
      <c r="T482" s="348"/>
      <c r="U482" s="348"/>
      <c r="V482" s="340"/>
      <c r="W482" s="340"/>
      <c r="X482" s="340"/>
      <c r="Y482" s="340"/>
    </row>
    <row r="483" spans="1:25" ht="15" thickBot="1" x14ac:dyDescent="0.3">
      <c r="A483" s="325"/>
      <c r="B483" s="325"/>
      <c r="C483" s="325"/>
      <c r="D483" s="325"/>
      <c r="E483" s="325"/>
      <c r="F483" s="325"/>
      <c r="G483" s="325"/>
      <c r="H483" s="325"/>
      <c r="I483" s="325"/>
      <c r="J483" s="325"/>
      <c r="K483" s="339"/>
      <c r="L483" s="340"/>
      <c r="M483" s="340"/>
      <c r="N483" s="340"/>
      <c r="O483" s="340"/>
      <c r="P483" s="340"/>
      <c r="Q483" s="340"/>
      <c r="R483" s="340"/>
      <c r="S483" s="348"/>
      <c r="T483" s="348"/>
      <c r="U483" s="348"/>
      <c r="V483" s="340"/>
      <c r="W483" s="340"/>
      <c r="X483" s="340"/>
      <c r="Y483" s="340"/>
    </row>
    <row r="484" spans="1:25" ht="15" thickBot="1" x14ac:dyDescent="0.3">
      <c r="A484" s="325"/>
      <c r="B484" s="325"/>
      <c r="C484" s="325"/>
      <c r="D484" s="325"/>
      <c r="E484" s="325"/>
      <c r="F484" s="325"/>
      <c r="G484" s="325"/>
      <c r="H484" s="325"/>
      <c r="I484" s="325"/>
      <c r="J484" s="325"/>
      <c r="K484" s="339"/>
      <c r="L484" s="340"/>
      <c r="M484" s="340"/>
      <c r="N484" s="340"/>
      <c r="O484" s="340"/>
      <c r="P484" s="340"/>
      <c r="Q484" s="340"/>
      <c r="R484" s="340"/>
      <c r="S484" s="348"/>
      <c r="T484" s="348"/>
      <c r="U484" s="348"/>
      <c r="V484" s="340"/>
      <c r="W484" s="340"/>
      <c r="X484" s="340"/>
      <c r="Y484" s="340"/>
    </row>
    <row r="485" spans="1:25" ht="15" thickBot="1" x14ac:dyDescent="0.3">
      <c r="A485" s="325"/>
      <c r="B485" s="325"/>
      <c r="C485" s="325"/>
      <c r="D485" s="325"/>
      <c r="E485" s="325"/>
      <c r="F485" s="325"/>
      <c r="G485" s="325"/>
      <c r="H485" s="325"/>
      <c r="I485" s="325"/>
      <c r="J485" s="325"/>
      <c r="K485" s="339"/>
      <c r="L485" s="340"/>
      <c r="M485" s="340"/>
      <c r="N485" s="340"/>
      <c r="O485" s="340"/>
      <c r="P485" s="340"/>
      <c r="Q485" s="340"/>
      <c r="R485" s="340"/>
      <c r="S485" s="348"/>
      <c r="T485" s="348"/>
      <c r="U485" s="348"/>
      <c r="V485" s="340"/>
      <c r="W485" s="340"/>
      <c r="X485" s="340"/>
      <c r="Y485" s="340"/>
    </row>
    <row r="486" spans="1:25" ht="15" thickBot="1" x14ac:dyDescent="0.3">
      <c r="A486" s="325"/>
      <c r="B486" s="325"/>
      <c r="C486" s="325"/>
      <c r="D486" s="325"/>
      <c r="E486" s="325"/>
      <c r="F486" s="325"/>
      <c r="G486" s="325"/>
      <c r="H486" s="325"/>
      <c r="I486" s="325"/>
      <c r="J486" s="325"/>
      <c r="K486" s="339"/>
      <c r="L486" s="340"/>
      <c r="M486" s="340"/>
      <c r="N486" s="340"/>
      <c r="O486" s="340"/>
      <c r="P486" s="340"/>
      <c r="Q486" s="340"/>
      <c r="R486" s="340"/>
      <c r="S486" s="348"/>
      <c r="T486" s="348"/>
      <c r="U486" s="348"/>
      <c r="V486" s="340"/>
      <c r="W486" s="340"/>
      <c r="X486" s="340"/>
      <c r="Y486" s="340"/>
    </row>
    <row r="487" spans="1:25" ht="15" thickBot="1" x14ac:dyDescent="0.3">
      <c r="A487" s="325"/>
      <c r="B487" s="325"/>
      <c r="C487" s="325"/>
      <c r="D487" s="325"/>
      <c r="E487" s="325"/>
      <c r="F487" s="325"/>
      <c r="G487" s="325"/>
      <c r="H487" s="325"/>
      <c r="I487" s="325"/>
      <c r="J487" s="325"/>
      <c r="K487" s="339"/>
      <c r="L487" s="340"/>
      <c r="M487" s="340"/>
      <c r="N487" s="340"/>
      <c r="O487" s="340"/>
      <c r="P487" s="340"/>
      <c r="Q487" s="340"/>
      <c r="R487" s="340"/>
      <c r="S487" s="348"/>
      <c r="T487" s="348"/>
      <c r="U487" s="348"/>
      <c r="V487" s="340"/>
      <c r="W487" s="340"/>
      <c r="X487" s="340"/>
      <c r="Y487" s="340"/>
    </row>
    <row r="488" spans="1:25" ht="15" thickBot="1" x14ac:dyDescent="0.3">
      <c r="A488" s="325"/>
      <c r="B488" s="325"/>
      <c r="C488" s="325"/>
      <c r="D488" s="325"/>
      <c r="E488" s="325"/>
      <c r="F488" s="325"/>
      <c r="G488" s="325"/>
      <c r="H488" s="325"/>
      <c r="I488" s="325"/>
      <c r="J488" s="325"/>
      <c r="K488" s="339"/>
      <c r="L488" s="340"/>
      <c r="M488" s="340"/>
      <c r="N488" s="340"/>
      <c r="O488" s="340"/>
      <c r="P488" s="340"/>
      <c r="Q488" s="340"/>
      <c r="R488" s="340"/>
      <c r="S488" s="348"/>
      <c r="T488" s="348"/>
      <c r="U488" s="348"/>
      <c r="V488" s="340"/>
      <c r="W488" s="340"/>
      <c r="X488" s="340"/>
      <c r="Y488" s="340"/>
    </row>
    <row r="489" spans="1:25" ht="15" thickBot="1" x14ac:dyDescent="0.3">
      <c r="A489" s="325"/>
      <c r="B489" s="325"/>
      <c r="C489" s="325"/>
      <c r="D489" s="325"/>
      <c r="E489" s="325"/>
      <c r="F489" s="325"/>
      <c r="G489" s="325"/>
      <c r="H489" s="325"/>
      <c r="I489" s="325"/>
      <c r="J489" s="325"/>
      <c r="K489" s="339"/>
      <c r="L489" s="340"/>
      <c r="M489" s="340"/>
      <c r="N489" s="340"/>
      <c r="O489" s="340"/>
      <c r="P489" s="340"/>
      <c r="Q489" s="340"/>
      <c r="R489" s="340"/>
      <c r="S489" s="348"/>
      <c r="T489" s="348"/>
      <c r="U489" s="348"/>
      <c r="V489" s="340"/>
      <c r="W489" s="340"/>
      <c r="X489" s="340"/>
      <c r="Y489" s="340"/>
    </row>
    <row r="490" spans="1:25" ht="15" thickBot="1" x14ac:dyDescent="0.3">
      <c r="A490" s="325"/>
      <c r="B490" s="325"/>
      <c r="C490" s="325"/>
      <c r="D490" s="325"/>
      <c r="E490" s="325"/>
      <c r="F490" s="325"/>
      <c r="G490" s="325"/>
      <c r="H490" s="325"/>
      <c r="I490" s="325"/>
      <c r="J490" s="325"/>
      <c r="K490" s="339"/>
      <c r="L490" s="340"/>
      <c r="M490" s="340"/>
      <c r="N490" s="340"/>
      <c r="O490" s="340"/>
      <c r="P490" s="340"/>
      <c r="Q490" s="340"/>
      <c r="R490" s="340"/>
      <c r="S490" s="348"/>
      <c r="T490" s="348"/>
      <c r="U490" s="348"/>
      <c r="V490" s="340"/>
      <c r="W490" s="340"/>
      <c r="X490" s="340"/>
      <c r="Y490" s="340"/>
    </row>
    <row r="491" spans="1:25" ht="15" thickBot="1" x14ac:dyDescent="0.3">
      <c r="A491" s="325"/>
      <c r="B491" s="325"/>
      <c r="C491" s="325"/>
      <c r="D491" s="325"/>
      <c r="E491" s="325"/>
      <c r="F491" s="325"/>
      <c r="G491" s="325"/>
      <c r="H491" s="325"/>
      <c r="I491" s="325"/>
      <c r="J491" s="325"/>
      <c r="K491" s="339"/>
      <c r="L491" s="340"/>
      <c r="M491" s="340"/>
      <c r="N491" s="340"/>
      <c r="O491" s="340"/>
      <c r="P491" s="340"/>
      <c r="Q491" s="340"/>
      <c r="R491" s="340"/>
      <c r="S491" s="348"/>
      <c r="T491" s="348"/>
      <c r="U491" s="348"/>
      <c r="V491" s="340"/>
      <c r="W491" s="340"/>
      <c r="X491" s="340"/>
      <c r="Y491" s="340"/>
    </row>
    <row r="492" spans="1:25" ht="15" thickBot="1" x14ac:dyDescent="0.3">
      <c r="A492" s="325"/>
      <c r="B492" s="325"/>
      <c r="C492" s="325"/>
      <c r="D492" s="325"/>
      <c r="E492" s="325"/>
      <c r="F492" s="325"/>
      <c r="G492" s="325"/>
      <c r="H492" s="325"/>
      <c r="I492" s="325"/>
      <c r="J492" s="325"/>
      <c r="K492" s="339"/>
      <c r="L492" s="340"/>
      <c r="M492" s="340"/>
      <c r="N492" s="340"/>
      <c r="O492" s="340"/>
      <c r="P492" s="340"/>
      <c r="Q492" s="340"/>
      <c r="R492" s="340"/>
      <c r="S492" s="348"/>
      <c r="T492" s="348"/>
      <c r="U492" s="348"/>
      <c r="V492" s="340"/>
      <c r="W492" s="340"/>
      <c r="X492" s="340"/>
      <c r="Y492" s="340"/>
    </row>
    <row r="493" spans="1:25" ht="15" thickBot="1" x14ac:dyDescent="0.3">
      <c r="A493" s="325"/>
      <c r="B493" s="325"/>
      <c r="C493" s="325"/>
      <c r="D493" s="325"/>
      <c r="E493" s="325"/>
      <c r="F493" s="325"/>
      <c r="G493" s="325"/>
      <c r="H493" s="325"/>
      <c r="I493" s="325"/>
      <c r="J493" s="325"/>
      <c r="K493" s="339"/>
      <c r="L493" s="340"/>
      <c r="M493" s="340"/>
      <c r="N493" s="340"/>
      <c r="O493" s="340"/>
      <c r="P493" s="340"/>
      <c r="Q493" s="340"/>
      <c r="R493" s="340"/>
      <c r="S493" s="348"/>
      <c r="T493" s="348"/>
      <c r="U493" s="348"/>
      <c r="V493" s="340"/>
      <c r="W493" s="340"/>
      <c r="X493" s="340"/>
      <c r="Y493" s="340"/>
    </row>
    <row r="494" spans="1:25" ht="15" thickBot="1" x14ac:dyDescent="0.3">
      <c r="A494" s="325"/>
      <c r="B494" s="325"/>
      <c r="C494" s="325"/>
      <c r="D494" s="325"/>
      <c r="E494" s="325"/>
      <c r="F494" s="325"/>
      <c r="G494" s="325"/>
      <c r="H494" s="325"/>
      <c r="I494" s="325"/>
      <c r="J494" s="325"/>
      <c r="K494" s="339"/>
      <c r="L494" s="340"/>
      <c r="M494" s="340"/>
      <c r="N494" s="340"/>
      <c r="O494" s="340"/>
      <c r="P494" s="340"/>
      <c r="Q494" s="340"/>
      <c r="R494" s="340"/>
      <c r="S494" s="348"/>
      <c r="T494" s="348"/>
      <c r="U494" s="348"/>
      <c r="V494" s="340"/>
      <c r="W494" s="340"/>
      <c r="X494" s="340"/>
      <c r="Y494" s="340"/>
    </row>
    <row r="495" spans="1:25" ht="15" thickBot="1" x14ac:dyDescent="0.3">
      <c r="A495" s="325"/>
      <c r="B495" s="325"/>
      <c r="C495" s="325"/>
      <c r="D495" s="325"/>
      <c r="E495" s="325"/>
      <c r="F495" s="325"/>
      <c r="G495" s="325"/>
      <c r="H495" s="325"/>
      <c r="I495" s="325"/>
      <c r="J495" s="325"/>
      <c r="K495" s="339"/>
      <c r="L495" s="340"/>
      <c r="M495" s="340"/>
      <c r="N495" s="340"/>
      <c r="O495" s="340"/>
      <c r="P495" s="340"/>
      <c r="Q495" s="340"/>
      <c r="R495" s="340"/>
      <c r="S495" s="348"/>
      <c r="T495" s="348"/>
      <c r="U495" s="348"/>
      <c r="V495" s="340"/>
      <c r="W495" s="340"/>
      <c r="X495" s="340"/>
      <c r="Y495" s="340"/>
    </row>
    <row r="496" spans="1:25" ht="15" thickBot="1" x14ac:dyDescent="0.3">
      <c r="A496" s="325"/>
      <c r="B496" s="325"/>
      <c r="C496" s="325"/>
      <c r="D496" s="325"/>
      <c r="E496" s="325"/>
      <c r="F496" s="325"/>
      <c r="G496" s="325"/>
      <c r="H496" s="325"/>
      <c r="I496" s="325"/>
      <c r="J496" s="325"/>
      <c r="K496" s="339"/>
      <c r="L496" s="340"/>
      <c r="M496" s="340"/>
      <c r="N496" s="340"/>
      <c r="O496" s="340"/>
      <c r="P496" s="340"/>
      <c r="Q496" s="340"/>
      <c r="R496" s="340"/>
      <c r="S496" s="348"/>
      <c r="T496" s="348"/>
      <c r="U496" s="348"/>
      <c r="V496" s="340"/>
      <c r="W496" s="340"/>
      <c r="X496" s="340"/>
      <c r="Y496" s="340"/>
    </row>
    <row r="497" spans="1:25" ht="15" thickBot="1" x14ac:dyDescent="0.3">
      <c r="A497" s="325"/>
      <c r="B497" s="325"/>
      <c r="C497" s="325"/>
      <c r="D497" s="325"/>
      <c r="E497" s="325"/>
      <c r="F497" s="325"/>
      <c r="G497" s="325"/>
      <c r="H497" s="325"/>
      <c r="I497" s="325"/>
      <c r="J497" s="325"/>
      <c r="K497" s="339"/>
      <c r="L497" s="340"/>
      <c r="M497" s="340"/>
      <c r="N497" s="340"/>
      <c r="O497" s="340"/>
      <c r="P497" s="340"/>
      <c r="Q497" s="340"/>
      <c r="R497" s="340"/>
      <c r="S497" s="348"/>
      <c r="T497" s="348"/>
      <c r="U497" s="348"/>
      <c r="V497" s="340"/>
      <c r="W497" s="340"/>
      <c r="X497" s="340"/>
      <c r="Y497" s="340"/>
    </row>
    <row r="498" spans="1:25" ht="15" thickBot="1" x14ac:dyDescent="0.3">
      <c r="A498" s="325"/>
      <c r="B498" s="325"/>
      <c r="C498" s="325"/>
      <c r="D498" s="325"/>
      <c r="E498" s="325"/>
      <c r="F498" s="325"/>
      <c r="G498" s="325"/>
      <c r="H498" s="325"/>
      <c r="I498" s="325"/>
      <c r="J498" s="325"/>
      <c r="K498" s="339"/>
      <c r="L498" s="340"/>
      <c r="M498" s="340"/>
      <c r="N498" s="340"/>
      <c r="O498" s="340"/>
      <c r="P498" s="340"/>
      <c r="Q498" s="340"/>
      <c r="R498" s="340"/>
      <c r="S498" s="348"/>
      <c r="T498" s="348"/>
      <c r="U498" s="348"/>
      <c r="V498" s="340"/>
      <c r="W498" s="340"/>
      <c r="X498" s="340"/>
      <c r="Y498" s="340"/>
    </row>
    <row r="499" spans="1:25" ht="15" thickBot="1" x14ac:dyDescent="0.3">
      <c r="A499" s="325"/>
      <c r="B499" s="325"/>
      <c r="C499" s="325"/>
      <c r="D499" s="325"/>
      <c r="E499" s="325"/>
      <c r="F499" s="325"/>
      <c r="G499" s="325"/>
      <c r="H499" s="325"/>
      <c r="I499" s="325"/>
      <c r="J499" s="325"/>
      <c r="K499" s="339"/>
      <c r="L499" s="340"/>
      <c r="M499" s="340"/>
      <c r="N499" s="340"/>
      <c r="O499" s="340"/>
      <c r="P499" s="340"/>
      <c r="Q499" s="340"/>
      <c r="R499" s="340"/>
      <c r="S499" s="348"/>
      <c r="T499" s="348"/>
      <c r="U499" s="348"/>
      <c r="V499" s="340"/>
      <c r="W499" s="340"/>
      <c r="X499" s="340"/>
      <c r="Y499" s="340"/>
    </row>
    <row r="500" spans="1:25" ht="15" thickBot="1" x14ac:dyDescent="0.3">
      <c r="A500" s="325"/>
      <c r="B500" s="325"/>
      <c r="C500" s="325"/>
      <c r="D500" s="325"/>
      <c r="E500" s="325"/>
      <c r="F500" s="325"/>
      <c r="G500" s="325"/>
      <c r="H500" s="325"/>
      <c r="I500" s="325"/>
      <c r="J500" s="325"/>
      <c r="K500" s="339"/>
      <c r="L500" s="340"/>
      <c r="M500" s="340"/>
      <c r="N500" s="340"/>
      <c r="O500" s="340"/>
      <c r="P500" s="340"/>
      <c r="Q500" s="340"/>
      <c r="R500" s="340"/>
      <c r="S500" s="348"/>
      <c r="T500" s="348"/>
      <c r="U500" s="348"/>
      <c r="V500" s="340"/>
      <c r="W500" s="340"/>
      <c r="X500" s="340"/>
      <c r="Y500" s="340"/>
    </row>
    <row r="501" spans="1:25" ht="15" thickBot="1" x14ac:dyDescent="0.3">
      <c r="A501" s="325"/>
      <c r="B501" s="325"/>
      <c r="C501" s="325"/>
      <c r="D501" s="325"/>
      <c r="E501" s="325"/>
      <c r="F501" s="325"/>
      <c r="G501" s="325"/>
      <c r="H501" s="325"/>
      <c r="I501" s="325"/>
      <c r="J501" s="325"/>
      <c r="K501" s="339"/>
      <c r="L501" s="340"/>
      <c r="M501" s="340"/>
      <c r="N501" s="340"/>
      <c r="O501" s="340"/>
      <c r="P501" s="340"/>
      <c r="Q501" s="340"/>
      <c r="R501" s="340"/>
      <c r="S501" s="348"/>
      <c r="T501" s="348"/>
      <c r="U501" s="348"/>
      <c r="V501" s="340"/>
      <c r="W501" s="340"/>
      <c r="X501" s="340"/>
      <c r="Y501" s="340"/>
    </row>
    <row r="502" spans="1:25" ht="15" thickBot="1" x14ac:dyDescent="0.3">
      <c r="A502" s="325"/>
      <c r="B502" s="325"/>
      <c r="C502" s="325"/>
      <c r="D502" s="325"/>
      <c r="E502" s="325"/>
      <c r="F502" s="325"/>
      <c r="G502" s="325"/>
      <c r="H502" s="325"/>
      <c r="I502" s="325"/>
      <c r="J502" s="325"/>
      <c r="K502" s="339"/>
      <c r="L502" s="340"/>
      <c r="M502" s="340"/>
      <c r="N502" s="340"/>
      <c r="O502" s="340"/>
      <c r="P502" s="340"/>
      <c r="Q502" s="340"/>
      <c r="R502" s="340"/>
      <c r="S502" s="348"/>
      <c r="T502" s="348"/>
      <c r="U502" s="348"/>
      <c r="V502" s="340"/>
      <c r="W502" s="340"/>
      <c r="X502" s="340"/>
      <c r="Y502" s="340"/>
    </row>
    <row r="503" spans="1:25" ht="15" thickBot="1" x14ac:dyDescent="0.3">
      <c r="A503" s="325"/>
      <c r="B503" s="325"/>
      <c r="C503" s="325"/>
      <c r="D503" s="325"/>
      <c r="E503" s="325"/>
      <c r="F503" s="325"/>
      <c r="G503" s="325"/>
      <c r="H503" s="325"/>
      <c r="I503" s="325"/>
      <c r="J503" s="325"/>
      <c r="K503" s="339"/>
      <c r="L503" s="340"/>
      <c r="M503" s="340"/>
      <c r="N503" s="340"/>
      <c r="O503" s="340"/>
      <c r="P503" s="340"/>
      <c r="Q503" s="340"/>
      <c r="R503" s="340"/>
      <c r="S503" s="348"/>
      <c r="T503" s="348"/>
      <c r="U503" s="348"/>
      <c r="V503" s="340"/>
      <c r="W503" s="340"/>
      <c r="X503" s="340"/>
      <c r="Y503" s="340"/>
    </row>
    <row r="504" spans="1:25" ht="15" thickBot="1" x14ac:dyDescent="0.3">
      <c r="A504" s="325"/>
      <c r="B504" s="325"/>
      <c r="C504" s="325"/>
      <c r="D504" s="325"/>
      <c r="E504" s="325"/>
      <c r="F504" s="325"/>
      <c r="G504" s="325"/>
      <c r="H504" s="325"/>
      <c r="I504" s="325"/>
      <c r="J504" s="325"/>
      <c r="K504" s="339"/>
      <c r="L504" s="340"/>
      <c r="M504" s="340"/>
      <c r="N504" s="340"/>
      <c r="O504" s="340"/>
      <c r="P504" s="340"/>
      <c r="Q504" s="340"/>
      <c r="R504" s="340"/>
      <c r="S504" s="348"/>
      <c r="T504" s="348"/>
      <c r="U504" s="348"/>
      <c r="V504" s="340"/>
      <c r="W504" s="340"/>
      <c r="X504" s="340"/>
      <c r="Y504" s="340"/>
    </row>
    <row r="505" spans="1:25" ht="15" thickBot="1" x14ac:dyDescent="0.3">
      <c r="A505" s="325"/>
      <c r="B505" s="325"/>
      <c r="C505" s="325"/>
      <c r="D505" s="325"/>
      <c r="E505" s="325"/>
      <c r="F505" s="325"/>
      <c r="G505" s="325"/>
      <c r="H505" s="325"/>
      <c r="I505" s="325"/>
      <c r="J505" s="325"/>
      <c r="K505" s="339"/>
      <c r="L505" s="340"/>
      <c r="M505" s="340"/>
      <c r="N505" s="340"/>
      <c r="O505" s="340"/>
      <c r="P505" s="340"/>
      <c r="Q505" s="340"/>
      <c r="R505" s="340"/>
      <c r="S505" s="348"/>
      <c r="T505" s="348"/>
      <c r="U505" s="348"/>
      <c r="V505" s="340"/>
      <c r="W505" s="340"/>
      <c r="X505" s="340"/>
      <c r="Y505" s="340"/>
    </row>
    <row r="506" spans="1:25" ht="15" thickBot="1" x14ac:dyDescent="0.3">
      <c r="A506" s="325"/>
      <c r="B506" s="325"/>
      <c r="C506" s="325"/>
      <c r="D506" s="325"/>
      <c r="E506" s="325"/>
      <c r="F506" s="325"/>
      <c r="G506" s="325"/>
      <c r="H506" s="325"/>
      <c r="I506" s="325"/>
      <c r="J506" s="325"/>
      <c r="K506" s="339"/>
      <c r="L506" s="340"/>
      <c r="M506" s="340"/>
      <c r="N506" s="340"/>
      <c r="O506" s="340"/>
      <c r="P506" s="340"/>
      <c r="Q506" s="340"/>
      <c r="R506" s="340"/>
      <c r="S506" s="348"/>
      <c r="T506" s="348"/>
      <c r="U506" s="348"/>
      <c r="V506" s="340"/>
      <c r="W506" s="340"/>
      <c r="X506" s="340"/>
      <c r="Y506" s="340"/>
    </row>
    <row r="507" spans="1:25" ht="15" thickBot="1" x14ac:dyDescent="0.3">
      <c r="A507" s="325"/>
      <c r="B507" s="325"/>
      <c r="C507" s="325"/>
      <c r="D507" s="325"/>
      <c r="E507" s="325"/>
      <c r="F507" s="325"/>
      <c r="G507" s="325"/>
      <c r="H507" s="325"/>
      <c r="I507" s="325"/>
      <c r="J507" s="325"/>
      <c r="K507" s="339"/>
      <c r="L507" s="340"/>
      <c r="M507" s="340"/>
      <c r="N507" s="340"/>
      <c r="O507" s="340"/>
      <c r="P507" s="340"/>
      <c r="Q507" s="340"/>
      <c r="R507" s="340"/>
      <c r="S507" s="348"/>
      <c r="T507" s="348"/>
      <c r="U507" s="348"/>
      <c r="V507" s="340"/>
      <c r="W507" s="340"/>
      <c r="X507" s="340"/>
      <c r="Y507" s="340"/>
    </row>
    <row r="508" spans="1:25" ht="15" thickBot="1" x14ac:dyDescent="0.3">
      <c r="A508" s="325"/>
      <c r="B508" s="325"/>
      <c r="C508" s="325"/>
      <c r="D508" s="325"/>
      <c r="E508" s="325"/>
      <c r="F508" s="325"/>
      <c r="G508" s="325"/>
      <c r="H508" s="325"/>
      <c r="I508" s="325"/>
      <c r="J508" s="325"/>
      <c r="K508" s="339"/>
      <c r="L508" s="340"/>
      <c r="M508" s="340"/>
      <c r="N508" s="340"/>
      <c r="O508" s="340"/>
      <c r="P508" s="340"/>
      <c r="Q508" s="340"/>
      <c r="R508" s="340"/>
      <c r="S508" s="348"/>
      <c r="T508" s="348"/>
      <c r="U508" s="348"/>
      <c r="V508" s="340"/>
      <c r="W508" s="340"/>
      <c r="X508" s="340"/>
      <c r="Y508" s="340"/>
    </row>
    <row r="509" spans="1:25" ht="15" thickBot="1" x14ac:dyDescent="0.3">
      <c r="A509" s="325"/>
      <c r="B509" s="325"/>
      <c r="C509" s="325"/>
      <c r="D509" s="325"/>
      <c r="E509" s="325"/>
      <c r="F509" s="325"/>
      <c r="G509" s="325"/>
      <c r="H509" s="325"/>
      <c r="I509" s="325"/>
      <c r="J509" s="325"/>
      <c r="K509" s="339"/>
      <c r="L509" s="340"/>
      <c r="M509" s="340"/>
      <c r="N509" s="340"/>
      <c r="O509" s="340"/>
      <c r="P509" s="340"/>
      <c r="Q509" s="340"/>
      <c r="R509" s="340"/>
      <c r="S509" s="348"/>
      <c r="T509" s="348"/>
      <c r="U509" s="348"/>
      <c r="V509" s="340"/>
      <c r="W509" s="340"/>
      <c r="X509" s="340"/>
      <c r="Y509" s="340"/>
    </row>
    <row r="510" spans="1:25" ht="15" thickBot="1" x14ac:dyDescent="0.3">
      <c r="A510" s="325"/>
      <c r="B510" s="325"/>
      <c r="C510" s="325"/>
      <c r="D510" s="325"/>
      <c r="E510" s="325"/>
      <c r="F510" s="325"/>
      <c r="G510" s="325"/>
      <c r="H510" s="325"/>
      <c r="I510" s="325"/>
      <c r="J510" s="325"/>
      <c r="K510" s="339"/>
      <c r="L510" s="340"/>
      <c r="M510" s="340"/>
      <c r="N510" s="340"/>
      <c r="O510" s="340"/>
      <c r="P510" s="340"/>
      <c r="Q510" s="340"/>
      <c r="R510" s="340"/>
      <c r="S510" s="348"/>
      <c r="T510" s="348"/>
      <c r="U510" s="348"/>
      <c r="V510" s="340"/>
      <c r="W510" s="340"/>
      <c r="X510" s="340"/>
      <c r="Y510" s="340"/>
    </row>
    <row r="511" spans="1:25" ht="15" thickBot="1" x14ac:dyDescent="0.3">
      <c r="A511" s="325"/>
      <c r="B511" s="325"/>
      <c r="C511" s="325"/>
      <c r="D511" s="325"/>
      <c r="E511" s="325"/>
      <c r="F511" s="325"/>
      <c r="G511" s="325"/>
      <c r="H511" s="325"/>
      <c r="I511" s="325"/>
      <c r="J511" s="325"/>
      <c r="K511" s="339"/>
      <c r="L511" s="340"/>
      <c r="M511" s="340"/>
      <c r="N511" s="340"/>
      <c r="O511" s="340"/>
      <c r="P511" s="340"/>
      <c r="Q511" s="340"/>
      <c r="R511" s="340"/>
      <c r="S511" s="348"/>
      <c r="T511" s="348"/>
      <c r="U511" s="348"/>
      <c r="V511" s="340"/>
      <c r="W511" s="340"/>
      <c r="X511" s="340"/>
      <c r="Y511" s="340"/>
    </row>
    <row r="512" spans="1:25" ht="15" thickBot="1" x14ac:dyDescent="0.3">
      <c r="A512" s="325"/>
      <c r="B512" s="325"/>
      <c r="C512" s="325"/>
      <c r="D512" s="325"/>
      <c r="E512" s="325"/>
      <c r="F512" s="325"/>
      <c r="G512" s="325"/>
      <c r="H512" s="325"/>
      <c r="I512" s="325"/>
      <c r="J512" s="325"/>
      <c r="K512" s="339"/>
      <c r="L512" s="340"/>
      <c r="M512" s="340"/>
      <c r="N512" s="340"/>
      <c r="O512" s="340"/>
      <c r="P512" s="340"/>
      <c r="Q512" s="340"/>
      <c r="R512" s="340"/>
      <c r="S512" s="348"/>
      <c r="T512" s="348"/>
      <c r="U512" s="348"/>
      <c r="V512" s="340"/>
      <c r="W512" s="340"/>
      <c r="X512" s="340"/>
      <c r="Y512" s="340"/>
    </row>
    <row r="513" spans="1:25" ht="15" thickBot="1" x14ac:dyDescent="0.3">
      <c r="A513" s="325"/>
      <c r="B513" s="325"/>
      <c r="C513" s="325"/>
      <c r="D513" s="325"/>
      <c r="E513" s="325"/>
      <c r="F513" s="325"/>
      <c r="G513" s="325"/>
      <c r="H513" s="325"/>
      <c r="I513" s="325"/>
      <c r="J513" s="325"/>
      <c r="K513" s="339"/>
      <c r="L513" s="340"/>
      <c r="M513" s="340"/>
      <c r="N513" s="340"/>
      <c r="O513" s="340"/>
      <c r="P513" s="340"/>
      <c r="Q513" s="340"/>
      <c r="R513" s="340"/>
      <c r="S513" s="348"/>
      <c r="T513" s="348"/>
      <c r="U513" s="348"/>
      <c r="V513" s="340"/>
      <c r="W513" s="340"/>
      <c r="X513" s="340"/>
      <c r="Y513" s="340"/>
    </row>
    <row r="514" spans="1:25" ht="15" thickBot="1" x14ac:dyDescent="0.3">
      <c r="A514" s="325"/>
      <c r="B514" s="325"/>
      <c r="C514" s="325"/>
      <c r="D514" s="325"/>
      <c r="E514" s="325"/>
      <c r="F514" s="325"/>
      <c r="G514" s="325"/>
      <c r="H514" s="325"/>
      <c r="I514" s="325"/>
      <c r="J514" s="325"/>
      <c r="K514" s="339"/>
      <c r="L514" s="340"/>
      <c r="M514" s="340"/>
      <c r="N514" s="340"/>
      <c r="O514" s="340"/>
      <c r="P514" s="340"/>
      <c r="Q514" s="340"/>
      <c r="R514" s="340"/>
      <c r="S514" s="348"/>
      <c r="T514" s="348"/>
      <c r="U514" s="348"/>
      <c r="V514" s="340"/>
      <c r="W514" s="340"/>
      <c r="X514" s="340"/>
      <c r="Y514" s="340"/>
    </row>
    <row r="515" spans="1:25" ht="15" thickBot="1" x14ac:dyDescent="0.3">
      <c r="A515" s="325"/>
      <c r="B515" s="325"/>
      <c r="C515" s="325"/>
      <c r="D515" s="325"/>
      <c r="E515" s="325"/>
      <c r="F515" s="325"/>
      <c r="G515" s="325"/>
      <c r="H515" s="325"/>
      <c r="I515" s="325"/>
      <c r="J515" s="325"/>
      <c r="K515" s="339"/>
      <c r="L515" s="340"/>
      <c r="M515" s="340"/>
      <c r="N515" s="340"/>
      <c r="O515" s="340"/>
      <c r="P515" s="340"/>
      <c r="Q515" s="340"/>
      <c r="R515" s="340"/>
      <c r="S515" s="348"/>
      <c r="T515" s="348"/>
      <c r="U515" s="348"/>
      <c r="V515" s="340"/>
      <c r="W515" s="340"/>
      <c r="X515" s="340"/>
      <c r="Y515" s="340"/>
    </row>
    <row r="516" spans="1:25" ht="15" thickBot="1" x14ac:dyDescent="0.3">
      <c r="A516" s="325"/>
      <c r="B516" s="325"/>
      <c r="C516" s="325"/>
      <c r="D516" s="325"/>
      <c r="E516" s="325"/>
      <c r="F516" s="325"/>
      <c r="G516" s="325"/>
      <c r="H516" s="325"/>
      <c r="I516" s="325"/>
      <c r="J516" s="325"/>
      <c r="K516" s="339"/>
      <c r="L516" s="340"/>
      <c r="M516" s="340"/>
      <c r="N516" s="340"/>
      <c r="O516" s="340"/>
      <c r="P516" s="340"/>
      <c r="Q516" s="340"/>
      <c r="R516" s="340"/>
      <c r="S516" s="348"/>
      <c r="T516" s="348"/>
      <c r="U516" s="348"/>
      <c r="V516" s="340"/>
      <c r="W516" s="340"/>
      <c r="X516" s="340"/>
      <c r="Y516" s="340"/>
    </row>
    <row r="517" spans="1:25" ht="15" thickBot="1" x14ac:dyDescent="0.3">
      <c r="A517" s="325"/>
      <c r="B517" s="325"/>
      <c r="C517" s="325"/>
      <c r="D517" s="325"/>
      <c r="E517" s="325"/>
      <c r="F517" s="325"/>
      <c r="G517" s="325"/>
      <c r="H517" s="325"/>
      <c r="I517" s="325"/>
      <c r="J517" s="325"/>
      <c r="K517" s="339"/>
      <c r="L517" s="340"/>
      <c r="M517" s="340"/>
      <c r="N517" s="340"/>
      <c r="O517" s="340"/>
      <c r="P517" s="340"/>
      <c r="Q517" s="340"/>
      <c r="R517" s="340"/>
      <c r="S517" s="348"/>
      <c r="T517" s="348"/>
      <c r="U517" s="348"/>
      <c r="V517" s="340"/>
      <c r="W517" s="340"/>
      <c r="X517" s="340"/>
      <c r="Y517" s="340"/>
    </row>
    <row r="518" spans="1:25" ht="15" thickBot="1" x14ac:dyDescent="0.3">
      <c r="A518" s="325"/>
      <c r="B518" s="325"/>
      <c r="C518" s="325"/>
      <c r="D518" s="325"/>
      <c r="E518" s="325"/>
      <c r="F518" s="325"/>
      <c r="G518" s="325"/>
      <c r="H518" s="325"/>
      <c r="I518" s="325"/>
      <c r="J518" s="325"/>
      <c r="K518" s="339"/>
      <c r="L518" s="340"/>
      <c r="M518" s="340"/>
      <c r="N518" s="340"/>
      <c r="O518" s="340"/>
      <c r="P518" s="340"/>
      <c r="Q518" s="340"/>
      <c r="R518" s="340"/>
      <c r="S518" s="348"/>
      <c r="T518" s="348"/>
      <c r="U518" s="348"/>
      <c r="V518" s="340"/>
      <c r="W518" s="340"/>
      <c r="X518" s="340"/>
      <c r="Y518" s="340"/>
    </row>
    <row r="519" spans="1:25" ht="15" thickBot="1" x14ac:dyDescent="0.3">
      <c r="A519" s="325"/>
      <c r="B519" s="325"/>
      <c r="C519" s="325"/>
      <c r="D519" s="325"/>
      <c r="E519" s="325"/>
      <c r="F519" s="325"/>
      <c r="G519" s="325"/>
      <c r="H519" s="325"/>
      <c r="I519" s="325"/>
      <c r="J519" s="325"/>
      <c r="K519" s="339"/>
      <c r="L519" s="340"/>
      <c r="M519" s="340"/>
      <c r="N519" s="340"/>
      <c r="O519" s="340"/>
      <c r="P519" s="340"/>
      <c r="Q519" s="340"/>
      <c r="R519" s="340"/>
      <c r="S519" s="348"/>
      <c r="T519" s="348"/>
      <c r="U519" s="348"/>
      <c r="V519" s="340"/>
      <c r="W519" s="340"/>
      <c r="X519" s="340"/>
      <c r="Y519" s="340"/>
    </row>
    <row r="520" spans="1:25" ht="15" thickBot="1" x14ac:dyDescent="0.3">
      <c r="A520" s="325"/>
      <c r="B520" s="325"/>
      <c r="C520" s="325"/>
      <c r="D520" s="325"/>
      <c r="E520" s="325"/>
      <c r="F520" s="325"/>
      <c r="G520" s="325"/>
      <c r="H520" s="325"/>
      <c r="I520" s="325"/>
      <c r="J520" s="325"/>
      <c r="K520" s="339"/>
      <c r="L520" s="340"/>
      <c r="M520" s="340"/>
      <c r="N520" s="340"/>
      <c r="O520" s="340"/>
      <c r="P520" s="340"/>
      <c r="Q520" s="340"/>
      <c r="R520" s="340"/>
      <c r="S520" s="348"/>
      <c r="T520" s="348"/>
      <c r="U520" s="348"/>
      <c r="V520" s="340"/>
      <c r="W520" s="340"/>
      <c r="X520" s="340"/>
      <c r="Y520" s="340"/>
    </row>
    <row r="521" spans="1:25" ht="15" thickBot="1" x14ac:dyDescent="0.3">
      <c r="A521" s="325"/>
      <c r="B521" s="325"/>
      <c r="C521" s="325"/>
      <c r="D521" s="325"/>
      <c r="E521" s="325"/>
      <c r="F521" s="325"/>
      <c r="G521" s="325"/>
      <c r="H521" s="325"/>
      <c r="I521" s="325"/>
      <c r="J521" s="325"/>
      <c r="K521" s="339"/>
      <c r="L521" s="340"/>
      <c r="M521" s="340"/>
      <c r="N521" s="340"/>
      <c r="O521" s="340"/>
      <c r="P521" s="340"/>
      <c r="Q521" s="340"/>
      <c r="R521" s="340"/>
      <c r="S521" s="348"/>
      <c r="T521" s="348"/>
      <c r="U521" s="348"/>
      <c r="V521" s="340"/>
      <c r="W521" s="340"/>
      <c r="X521" s="340"/>
      <c r="Y521" s="340"/>
    </row>
    <row r="522" spans="1:25" ht="15" thickBot="1" x14ac:dyDescent="0.3">
      <c r="A522" s="325"/>
      <c r="B522" s="325"/>
      <c r="C522" s="325"/>
      <c r="D522" s="325"/>
      <c r="E522" s="325"/>
      <c r="F522" s="325"/>
      <c r="G522" s="325"/>
      <c r="H522" s="325"/>
      <c r="I522" s="325"/>
      <c r="J522" s="325"/>
      <c r="K522" s="339"/>
      <c r="L522" s="340"/>
      <c r="M522" s="340"/>
      <c r="N522" s="340"/>
      <c r="O522" s="340"/>
      <c r="P522" s="340"/>
      <c r="Q522" s="340"/>
      <c r="R522" s="340"/>
      <c r="S522" s="348"/>
      <c r="T522" s="348"/>
      <c r="U522" s="348"/>
      <c r="V522" s="340"/>
      <c r="W522" s="340"/>
      <c r="X522" s="340"/>
      <c r="Y522" s="340"/>
    </row>
    <row r="523" spans="1:25" ht="15" thickBot="1" x14ac:dyDescent="0.3">
      <c r="A523" s="325"/>
      <c r="B523" s="325"/>
      <c r="C523" s="325"/>
      <c r="D523" s="325"/>
      <c r="E523" s="325"/>
      <c r="F523" s="325"/>
      <c r="G523" s="325"/>
      <c r="H523" s="325"/>
      <c r="I523" s="325"/>
      <c r="J523" s="325"/>
      <c r="K523" s="339"/>
      <c r="L523" s="340"/>
      <c r="M523" s="340"/>
      <c r="N523" s="340"/>
      <c r="O523" s="340"/>
      <c r="P523" s="340"/>
      <c r="Q523" s="340"/>
      <c r="R523" s="340"/>
      <c r="S523" s="348"/>
      <c r="T523" s="348"/>
      <c r="U523" s="348"/>
      <c r="V523" s="340"/>
      <c r="W523" s="340"/>
      <c r="X523" s="340"/>
      <c r="Y523" s="340"/>
    </row>
    <row r="524" spans="1:25" ht="15" thickBot="1" x14ac:dyDescent="0.3">
      <c r="A524" s="325"/>
      <c r="B524" s="325"/>
      <c r="C524" s="325"/>
      <c r="D524" s="325"/>
      <c r="E524" s="325"/>
      <c r="F524" s="325"/>
      <c r="G524" s="325"/>
      <c r="H524" s="325"/>
      <c r="I524" s="325"/>
      <c r="J524" s="325"/>
      <c r="K524" s="339"/>
      <c r="L524" s="340"/>
      <c r="M524" s="340"/>
      <c r="N524" s="340"/>
      <c r="O524" s="340"/>
      <c r="P524" s="340"/>
      <c r="Q524" s="340"/>
      <c r="R524" s="340"/>
      <c r="S524" s="348"/>
      <c r="T524" s="348"/>
      <c r="U524" s="348"/>
      <c r="V524" s="340"/>
      <c r="W524" s="340"/>
      <c r="X524" s="340"/>
      <c r="Y524" s="340"/>
    </row>
    <row r="525" spans="1:25" ht="15" thickBot="1" x14ac:dyDescent="0.3">
      <c r="A525" s="325"/>
      <c r="B525" s="325"/>
      <c r="C525" s="325"/>
      <c r="D525" s="325"/>
      <c r="E525" s="325"/>
      <c r="F525" s="325"/>
      <c r="G525" s="325"/>
      <c r="H525" s="325"/>
      <c r="I525" s="325"/>
      <c r="J525" s="325"/>
      <c r="K525" s="339"/>
      <c r="L525" s="340"/>
      <c r="M525" s="340"/>
      <c r="N525" s="340"/>
      <c r="O525" s="340"/>
      <c r="P525" s="340"/>
      <c r="Q525" s="340"/>
      <c r="R525" s="340"/>
      <c r="S525" s="348"/>
      <c r="T525" s="348"/>
      <c r="U525" s="348"/>
      <c r="V525" s="340"/>
      <c r="W525" s="340"/>
      <c r="X525" s="340"/>
      <c r="Y525" s="340"/>
    </row>
    <row r="526" spans="1:25" ht="15" thickBot="1" x14ac:dyDescent="0.3">
      <c r="A526" s="325"/>
      <c r="B526" s="325"/>
      <c r="C526" s="325"/>
      <c r="D526" s="325"/>
      <c r="E526" s="325"/>
      <c r="F526" s="325"/>
      <c r="G526" s="325"/>
      <c r="H526" s="325"/>
      <c r="I526" s="325"/>
      <c r="J526" s="325"/>
      <c r="K526" s="339"/>
      <c r="L526" s="340"/>
      <c r="M526" s="340"/>
      <c r="N526" s="340"/>
      <c r="O526" s="340"/>
      <c r="P526" s="340"/>
      <c r="Q526" s="340"/>
      <c r="R526" s="340"/>
      <c r="S526" s="348"/>
      <c r="T526" s="348"/>
      <c r="U526" s="348"/>
      <c r="V526" s="340"/>
      <c r="W526" s="340"/>
      <c r="X526" s="340"/>
      <c r="Y526" s="340"/>
    </row>
    <row r="527" spans="1:25" ht="15" thickBot="1" x14ac:dyDescent="0.3">
      <c r="A527" s="325"/>
      <c r="B527" s="325"/>
      <c r="C527" s="325"/>
      <c r="D527" s="325"/>
      <c r="E527" s="325"/>
      <c r="F527" s="325"/>
      <c r="G527" s="325"/>
      <c r="H527" s="325"/>
      <c r="I527" s="325"/>
      <c r="J527" s="325"/>
      <c r="K527" s="339"/>
      <c r="L527" s="340"/>
      <c r="M527" s="340"/>
      <c r="N527" s="340"/>
      <c r="O527" s="340"/>
      <c r="P527" s="340"/>
      <c r="Q527" s="340"/>
      <c r="R527" s="340"/>
      <c r="S527" s="348"/>
      <c r="T527" s="348"/>
      <c r="U527" s="348"/>
      <c r="V527" s="340"/>
      <c r="W527" s="340"/>
      <c r="X527" s="340"/>
      <c r="Y527" s="340"/>
    </row>
    <row r="528" spans="1:25" ht="15" thickBot="1" x14ac:dyDescent="0.3">
      <c r="A528" s="325"/>
      <c r="B528" s="325"/>
      <c r="C528" s="325"/>
      <c r="D528" s="325"/>
      <c r="E528" s="325"/>
      <c r="F528" s="325"/>
      <c r="G528" s="325"/>
      <c r="H528" s="325"/>
      <c r="I528" s="325"/>
      <c r="J528" s="325"/>
      <c r="K528" s="339"/>
      <c r="L528" s="340"/>
      <c r="M528" s="340"/>
      <c r="N528" s="340"/>
      <c r="O528" s="340"/>
      <c r="P528" s="340"/>
      <c r="Q528" s="340"/>
      <c r="R528" s="340"/>
      <c r="S528" s="348"/>
      <c r="T528" s="348"/>
      <c r="U528" s="348"/>
      <c r="V528" s="340"/>
      <c r="W528" s="340"/>
      <c r="X528" s="340"/>
      <c r="Y528" s="340"/>
    </row>
    <row r="529" spans="1:25" ht="15" thickBot="1" x14ac:dyDescent="0.3">
      <c r="A529" s="325"/>
      <c r="B529" s="325"/>
      <c r="C529" s="325"/>
      <c r="D529" s="325"/>
      <c r="E529" s="325"/>
      <c r="F529" s="325"/>
      <c r="G529" s="325"/>
      <c r="H529" s="325"/>
      <c r="I529" s="325"/>
      <c r="J529" s="325"/>
      <c r="K529" s="339"/>
      <c r="L529" s="340"/>
      <c r="M529" s="340"/>
      <c r="N529" s="340"/>
      <c r="O529" s="340"/>
      <c r="P529" s="340"/>
      <c r="Q529" s="340"/>
      <c r="R529" s="340"/>
      <c r="S529" s="348"/>
      <c r="T529" s="348"/>
      <c r="U529" s="348"/>
      <c r="V529" s="340"/>
      <c r="W529" s="340"/>
      <c r="X529" s="340"/>
      <c r="Y529" s="340"/>
    </row>
    <row r="530" spans="1:25" ht="15" thickBot="1" x14ac:dyDescent="0.3">
      <c r="A530" s="325"/>
      <c r="B530" s="325"/>
      <c r="C530" s="325"/>
      <c r="D530" s="325"/>
      <c r="E530" s="325"/>
      <c r="F530" s="325"/>
      <c r="G530" s="325"/>
      <c r="H530" s="325"/>
      <c r="I530" s="325"/>
      <c r="J530" s="325"/>
      <c r="K530" s="339"/>
      <c r="L530" s="340"/>
      <c r="M530" s="340"/>
      <c r="N530" s="340"/>
      <c r="O530" s="340"/>
      <c r="P530" s="340"/>
      <c r="Q530" s="340"/>
      <c r="R530" s="340"/>
      <c r="S530" s="348"/>
      <c r="T530" s="348"/>
      <c r="U530" s="348"/>
      <c r="V530" s="340"/>
      <c r="W530" s="340"/>
      <c r="X530" s="340"/>
      <c r="Y530" s="340"/>
    </row>
    <row r="531" spans="1:25" ht="15" thickBot="1" x14ac:dyDescent="0.3">
      <c r="A531" s="325"/>
      <c r="B531" s="325"/>
      <c r="C531" s="325"/>
      <c r="D531" s="325"/>
      <c r="E531" s="325"/>
      <c r="F531" s="325"/>
      <c r="G531" s="325"/>
      <c r="H531" s="325"/>
      <c r="I531" s="325"/>
      <c r="J531" s="325"/>
      <c r="K531" s="339"/>
      <c r="L531" s="340"/>
      <c r="M531" s="340"/>
      <c r="N531" s="340"/>
      <c r="O531" s="340"/>
      <c r="P531" s="340"/>
      <c r="Q531" s="340"/>
      <c r="R531" s="340"/>
      <c r="S531" s="348"/>
      <c r="T531" s="348"/>
      <c r="U531" s="348"/>
      <c r="V531" s="340"/>
      <c r="W531" s="340"/>
      <c r="X531" s="340"/>
      <c r="Y531" s="340"/>
    </row>
    <row r="532" spans="1:25" ht="15" thickBot="1" x14ac:dyDescent="0.3">
      <c r="A532" s="325"/>
      <c r="B532" s="325"/>
      <c r="C532" s="325"/>
      <c r="D532" s="325"/>
      <c r="E532" s="325"/>
      <c r="F532" s="325"/>
      <c r="G532" s="325"/>
      <c r="H532" s="325"/>
      <c r="I532" s="325"/>
      <c r="J532" s="325"/>
      <c r="K532" s="339"/>
      <c r="L532" s="340"/>
      <c r="M532" s="340"/>
      <c r="N532" s="340"/>
      <c r="O532" s="340"/>
      <c r="P532" s="340"/>
      <c r="Q532" s="340"/>
      <c r="R532" s="340"/>
      <c r="S532" s="348"/>
      <c r="T532" s="348"/>
      <c r="U532" s="348"/>
      <c r="V532" s="340"/>
      <c r="W532" s="340"/>
      <c r="X532" s="340"/>
      <c r="Y532" s="340"/>
    </row>
    <row r="533" spans="1:25" ht="15" thickBot="1" x14ac:dyDescent="0.3">
      <c r="A533" s="325"/>
      <c r="B533" s="325"/>
      <c r="C533" s="325"/>
      <c r="D533" s="325"/>
      <c r="E533" s="325"/>
      <c r="F533" s="325"/>
      <c r="G533" s="325"/>
      <c r="H533" s="325"/>
      <c r="I533" s="325"/>
      <c r="J533" s="325"/>
      <c r="K533" s="339"/>
      <c r="L533" s="340"/>
      <c r="M533" s="340"/>
      <c r="N533" s="340"/>
      <c r="O533" s="340"/>
      <c r="P533" s="340"/>
      <c r="Q533" s="340"/>
      <c r="R533" s="340"/>
      <c r="S533" s="348"/>
      <c r="T533" s="348"/>
      <c r="U533" s="348"/>
      <c r="V533" s="340"/>
      <c r="W533" s="340"/>
      <c r="X533" s="340"/>
      <c r="Y533" s="340"/>
    </row>
    <row r="534" spans="1:25" ht="15" thickBot="1" x14ac:dyDescent="0.3">
      <c r="A534" s="325"/>
      <c r="B534" s="325"/>
      <c r="C534" s="325"/>
      <c r="D534" s="325"/>
      <c r="E534" s="325"/>
      <c r="F534" s="325"/>
      <c r="G534" s="325"/>
      <c r="H534" s="325"/>
      <c r="I534" s="325"/>
      <c r="J534" s="325"/>
      <c r="K534" s="339"/>
      <c r="L534" s="340"/>
      <c r="M534" s="340"/>
      <c r="N534" s="340"/>
      <c r="O534" s="340"/>
      <c r="P534" s="340"/>
      <c r="Q534" s="340"/>
      <c r="R534" s="340"/>
      <c r="S534" s="348"/>
      <c r="T534" s="348"/>
      <c r="U534" s="348"/>
      <c r="V534" s="340"/>
      <c r="W534" s="340"/>
      <c r="X534" s="340"/>
      <c r="Y534" s="340"/>
    </row>
    <row r="535" spans="1:25" ht="15" thickBot="1" x14ac:dyDescent="0.3">
      <c r="A535" s="325"/>
      <c r="B535" s="325"/>
      <c r="C535" s="325"/>
      <c r="D535" s="325"/>
      <c r="E535" s="325"/>
      <c r="F535" s="325"/>
      <c r="G535" s="325"/>
      <c r="H535" s="325"/>
      <c r="I535" s="325"/>
      <c r="J535" s="325"/>
      <c r="K535" s="339"/>
      <c r="L535" s="340"/>
      <c r="M535" s="340"/>
      <c r="N535" s="340"/>
      <c r="O535" s="340"/>
      <c r="P535" s="340"/>
      <c r="Q535" s="340"/>
      <c r="R535" s="340"/>
      <c r="S535" s="348"/>
      <c r="T535" s="348"/>
      <c r="U535" s="348"/>
      <c r="V535" s="340"/>
      <c r="W535" s="340"/>
      <c r="X535" s="340"/>
      <c r="Y535" s="340"/>
    </row>
    <row r="536" spans="1:25" ht="15" thickBot="1" x14ac:dyDescent="0.3">
      <c r="A536" s="325"/>
      <c r="B536" s="325"/>
      <c r="C536" s="325"/>
      <c r="D536" s="325"/>
      <c r="E536" s="325"/>
      <c r="F536" s="325"/>
      <c r="G536" s="325"/>
      <c r="H536" s="325"/>
      <c r="I536" s="325"/>
      <c r="J536" s="325"/>
      <c r="K536" s="339"/>
      <c r="L536" s="340"/>
      <c r="M536" s="340"/>
      <c r="N536" s="340"/>
      <c r="O536" s="340"/>
      <c r="P536" s="340"/>
      <c r="Q536" s="340"/>
      <c r="R536" s="340"/>
      <c r="S536" s="348"/>
      <c r="T536" s="348"/>
      <c r="U536" s="348"/>
      <c r="V536" s="340"/>
      <c r="W536" s="340"/>
      <c r="X536" s="340"/>
      <c r="Y536" s="340"/>
    </row>
    <row r="537" spans="1:25" ht="15" thickBot="1" x14ac:dyDescent="0.3">
      <c r="A537" s="325"/>
      <c r="B537" s="325"/>
      <c r="C537" s="325"/>
      <c r="D537" s="325"/>
      <c r="E537" s="325"/>
      <c r="F537" s="325"/>
      <c r="G537" s="325"/>
      <c r="H537" s="325"/>
      <c r="I537" s="325"/>
      <c r="J537" s="325"/>
      <c r="K537" s="339"/>
      <c r="L537" s="340"/>
      <c r="M537" s="340"/>
      <c r="N537" s="340"/>
      <c r="O537" s="340"/>
      <c r="P537" s="340"/>
      <c r="Q537" s="340"/>
      <c r="R537" s="340"/>
      <c r="S537" s="348"/>
      <c r="T537" s="348"/>
      <c r="U537" s="348"/>
      <c r="V537" s="340"/>
      <c r="W537" s="340"/>
      <c r="X537" s="340"/>
      <c r="Y537" s="340"/>
    </row>
    <row r="538" spans="1:25" ht="15" thickBot="1" x14ac:dyDescent="0.3">
      <c r="A538" s="325"/>
      <c r="B538" s="325"/>
      <c r="C538" s="325"/>
      <c r="D538" s="325"/>
      <c r="E538" s="325"/>
      <c r="F538" s="325"/>
      <c r="G538" s="325"/>
      <c r="H538" s="325"/>
      <c r="I538" s="325"/>
      <c r="J538" s="325"/>
      <c r="K538" s="339"/>
      <c r="L538" s="340"/>
      <c r="M538" s="340"/>
      <c r="N538" s="340"/>
      <c r="O538" s="340"/>
      <c r="P538" s="340"/>
      <c r="Q538" s="340"/>
      <c r="R538" s="340"/>
      <c r="S538" s="348"/>
      <c r="T538" s="348"/>
      <c r="U538" s="348"/>
      <c r="V538" s="340"/>
      <c r="W538" s="340"/>
      <c r="X538" s="340"/>
      <c r="Y538" s="340"/>
    </row>
    <row r="539" spans="1:25" ht="15" thickBot="1" x14ac:dyDescent="0.3">
      <c r="A539" s="325"/>
      <c r="B539" s="325"/>
      <c r="C539" s="325"/>
      <c r="D539" s="325"/>
      <c r="E539" s="325"/>
      <c r="F539" s="325"/>
      <c r="G539" s="325"/>
      <c r="H539" s="325"/>
      <c r="I539" s="325"/>
      <c r="J539" s="325"/>
      <c r="K539" s="339"/>
      <c r="L539" s="340"/>
      <c r="M539" s="340"/>
      <c r="N539" s="340"/>
      <c r="O539" s="340"/>
      <c r="P539" s="340"/>
      <c r="Q539" s="340"/>
      <c r="R539" s="340"/>
      <c r="S539" s="348"/>
      <c r="T539" s="348"/>
      <c r="U539" s="348"/>
      <c r="V539" s="340"/>
      <c r="W539" s="340"/>
      <c r="X539" s="340"/>
      <c r="Y539" s="340"/>
    </row>
    <row r="540" spans="1:25" ht="15" thickBot="1" x14ac:dyDescent="0.3">
      <c r="A540" s="325"/>
      <c r="B540" s="325"/>
      <c r="C540" s="325"/>
      <c r="D540" s="325"/>
      <c r="E540" s="325"/>
      <c r="F540" s="325"/>
      <c r="G540" s="325"/>
      <c r="H540" s="325"/>
      <c r="I540" s="325"/>
      <c r="J540" s="325"/>
      <c r="K540" s="339"/>
      <c r="L540" s="340"/>
      <c r="M540" s="340"/>
      <c r="N540" s="340"/>
      <c r="O540" s="340"/>
      <c r="P540" s="340"/>
      <c r="Q540" s="340"/>
      <c r="R540" s="340"/>
      <c r="S540" s="348"/>
      <c r="T540" s="348"/>
      <c r="U540" s="348"/>
      <c r="V540" s="340"/>
      <c r="W540" s="340"/>
      <c r="X540" s="340"/>
      <c r="Y540" s="340"/>
    </row>
    <row r="541" spans="1:25" ht="15" thickBot="1" x14ac:dyDescent="0.3">
      <c r="A541" s="325"/>
      <c r="B541" s="325"/>
      <c r="C541" s="325"/>
      <c r="D541" s="325"/>
      <c r="E541" s="325"/>
      <c r="F541" s="325"/>
      <c r="G541" s="325"/>
      <c r="H541" s="325"/>
      <c r="I541" s="325"/>
      <c r="J541" s="325"/>
      <c r="K541" s="339"/>
      <c r="L541" s="340"/>
      <c r="M541" s="340"/>
      <c r="N541" s="340"/>
      <c r="O541" s="340"/>
      <c r="P541" s="340"/>
      <c r="Q541" s="340"/>
      <c r="R541" s="340"/>
      <c r="S541" s="348"/>
      <c r="T541" s="348"/>
      <c r="U541" s="348"/>
      <c r="V541" s="340"/>
      <c r="W541" s="340"/>
      <c r="X541" s="340"/>
      <c r="Y541" s="340"/>
    </row>
    <row r="542" spans="1:25" ht="15" thickBot="1" x14ac:dyDescent="0.3">
      <c r="A542" s="325"/>
      <c r="B542" s="325"/>
      <c r="C542" s="325"/>
      <c r="D542" s="325"/>
      <c r="E542" s="325"/>
      <c r="F542" s="325"/>
      <c r="G542" s="325"/>
      <c r="H542" s="325"/>
      <c r="I542" s="325"/>
      <c r="J542" s="325"/>
      <c r="K542" s="339"/>
      <c r="L542" s="340"/>
      <c r="M542" s="340"/>
      <c r="N542" s="340"/>
      <c r="O542" s="340"/>
      <c r="P542" s="340"/>
      <c r="Q542" s="340"/>
      <c r="R542" s="340"/>
      <c r="S542" s="348"/>
      <c r="T542" s="348"/>
      <c r="U542" s="348"/>
      <c r="V542" s="340"/>
      <c r="W542" s="340"/>
      <c r="X542" s="340"/>
      <c r="Y542" s="340"/>
    </row>
    <row r="543" spans="1:25" ht="15" thickBot="1" x14ac:dyDescent="0.3">
      <c r="A543" s="325"/>
      <c r="B543" s="325"/>
      <c r="C543" s="325"/>
      <c r="D543" s="325"/>
      <c r="E543" s="325"/>
      <c r="F543" s="325"/>
      <c r="G543" s="325"/>
      <c r="H543" s="325"/>
      <c r="I543" s="325"/>
      <c r="J543" s="325"/>
      <c r="K543" s="339"/>
      <c r="L543" s="340"/>
      <c r="M543" s="340"/>
      <c r="N543" s="340"/>
      <c r="O543" s="340"/>
      <c r="P543" s="340"/>
      <c r="Q543" s="340"/>
      <c r="R543" s="340"/>
      <c r="S543" s="348"/>
      <c r="T543" s="348"/>
      <c r="U543" s="348"/>
      <c r="V543" s="340"/>
      <c r="W543" s="340"/>
      <c r="X543" s="340"/>
      <c r="Y543" s="340"/>
    </row>
    <row r="544" spans="1:25" ht="15" thickBot="1" x14ac:dyDescent="0.3">
      <c r="A544" s="325"/>
      <c r="B544" s="325"/>
      <c r="C544" s="325"/>
      <c r="D544" s="325"/>
      <c r="E544" s="325"/>
      <c r="F544" s="325"/>
      <c r="G544" s="325"/>
      <c r="H544" s="325"/>
      <c r="I544" s="325"/>
      <c r="J544" s="325"/>
      <c r="K544" s="339"/>
      <c r="L544" s="340"/>
      <c r="M544" s="340"/>
      <c r="N544" s="340"/>
      <c r="O544" s="340"/>
      <c r="P544" s="340"/>
      <c r="Q544" s="340"/>
      <c r="R544" s="340"/>
      <c r="S544" s="348"/>
      <c r="T544" s="348"/>
      <c r="U544" s="348"/>
      <c r="V544" s="340"/>
      <c r="W544" s="340"/>
      <c r="X544" s="340"/>
      <c r="Y544" s="340"/>
    </row>
    <row r="545" spans="1:25" ht="15" thickBot="1" x14ac:dyDescent="0.3">
      <c r="A545" s="325"/>
      <c r="B545" s="325"/>
      <c r="C545" s="325"/>
      <c r="D545" s="325"/>
      <c r="E545" s="325"/>
      <c r="F545" s="325"/>
      <c r="G545" s="325"/>
      <c r="H545" s="325"/>
      <c r="I545" s="325"/>
      <c r="J545" s="325"/>
      <c r="K545" s="339"/>
      <c r="L545" s="340"/>
      <c r="M545" s="340"/>
      <c r="N545" s="340"/>
      <c r="O545" s="340"/>
      <c r="P545" s="340"/>
      <c r="Q545" s="340"/>
      <c r="R545" s="340"/>
      <c r="S545" s="348"/>
      <c r="T545" s="348"/>
      <c r="U545" s="348"/>
      <c r="V545" s="340"/>
      <c r="W545" s="340"/>
      <c r="X545" s="340"/>
      <c r="Y545" s="340"/>
    </row>
    <row r="546" spans="1:25" ht="15" thickBot="1" x14ac:dyDescent="0.3">
      <c r="A546" s="325"/>
      <c r="B546" s="325"/>
      <c r="C546" s="325"/>
      <c r="D546" s="325"/>
      <c r="E546" s="325"/>
      <c r="F546" s="325"/>
      <c r="G546" s="325"/>
      <c r="H546" s="325"/>
      <c r="I546" s="325"/>
      <c r="J546" s="325"/>
      <c r="K546" s="339"/>
      <c r="L546" s="340"/>
      <c r="M546" s="340"/>
      <c r="N546" s="340"/>
      <c r="O546" s="340"/>
      <c r="P546" s="340"/>
      <c r="Q546" s="340"/>
      <c r="R546" s="340"/>
      <c r="S546" s="348"/>
      <c r="T546" s="348"/>
      <c r="U546" s="348"/>
      <c r="V546" s="340"/>
      <c r="W546" s="340"/>
      <c r="X546" s="340"/>
      <c r="Y546" s="340"/>
    </row>
    <row r="547" spans="1:25" ht="15" thickBot="1" x14ac:dyDescent="0.3">
      <c r="A547" s="325"/>
      <c r="B547" s="325"/>
      <c r="C547" s="325"/>
      <c r="D547" s="325"/>
      <c r="E547" s="325"/>
      <c r="F547" s="325"/>
      <c r="G547" s="325"/>
      <c r="H547" s="325"/>
      <c r="I547" s="325"/>
      <c r="J547" s="325"/>
      <c r="K547" s="339"/>
      <c r="L547" s="340"/>
      <c r="M547" s="340"/>
      <c r="N547" s="340"/>
      <c r="O547" s="340"/>
      <c r="P547" s="340"/>
      <c r="Q547" s="340"/>
      <c r="R547" s="340"/>
      <c r="S547" s="348"/>
      <c r="T547" s="348"/>
      <c r="U547" s="348"/>
      <c r="V547" s="340"/>
      <c r="W547" s="340"/>
      <c r="X547" s="340"/>
      <c r="Y547" s="340"/>
    </row>
    <row r="548" spans="1:25" ht="15" thickBot="1" x14ac:dyDescent="0.3">
      <c r="A548" s="325"/>
      <c r="B548" s="325"/>
      <c r="C548" s="325"/>
      <c r="D548" s="325"/>
      <c r="E548" s="325"/>
      <c r="F548" s="325"/>
      <c r="G548" s="325"/>
      <c r="H548" s="325"/>
      <c r="I548" s="325"/>
      <c r="J548" s="325"/>
      <c r="K548" s="339"/>
      <c r="L548" s="340"/>
      <c r="M548" s="340"/>
      <c r="N548" s="340"/>
      <c r="O548" s="340"/>
      <c r="P548" s="340"/>
      <c r="Q548" s="340"/>
      <c r="R548" s="340"/>
      <c r="S548" s="348"/>
      <c r="T548" s="348"/>
      <c r="U548" s="348"/>
      <c r="V548" s="340"/>
      <c r="W548" s="340"/>
      <c r="X548" s="340"/>
      <c r="Y548" s="340"/>
    </row>
    <row r="549" spans="1:25" ht="15" thickBot="1" x14ac:dyDescent="0.3">
      <c r="A549" s="325"/>
      <c r="B549" s="325"/>
      <c r="C549" s="325"/>
      <c r="D549" s="325"/>
      <c r="E549" s="325"/>
      <c r="F549" s="325"/>
      <c r="G549" s="325"/>
      <c r="H549" s="325"/>
      <c r="I549" s="325"/>
      <c r="J549" s="325"/>
      <c r="K549" s="339"/>
      <c r="L549" s="340"/>
      <c r="M549" s="340"/>
      <c r="N549" s="340"/>
      <c r="O549" s="340"/>
      <c r="P549" s="340"/>
      <c r="Q549" s="340"/>
      <c r="R549" s="340"/>
      <c r="S549" s="348"/>
      <c r="T549" s="348"/>
      <c r="U549" s="348"/>
      <c r="V549" s="340"/>
      <c r="W549" s="340"/>
      <c r="X549" s="340"/>
      <c r="Y549" s="340"/>
    </row>
    <row r="550" spans="1:25" ht="15" thickBot="1" x14ac:dyDescent="0.3">
      <c r="A550" s="325"/>
      <c r="B550" s="325"/>
      <c r="C550" s="325"/>
      <c r="D550" s="325"/>
      <c r="E550" s="325"/>
      <c r="F550" s="325"/>
      <c r="G550" s="325"/>
      <c r="H550" s="325"/>
      <c r="I550" s="325"/>
      <c r="J550" s="325"/>
      <c r="K550" s="339"/>
      <c r="L550" s="340"/>
      <c r="M550" s="340"/>
      <c r="N550" s="340"/>
      <c r="O550" s="340"/>
      <c r="P550" s="340"/>
      <c r="Q550" s="340"/>
      <c r="R550" s="340"/>
      <c r="S550" s="348"/>
      <c r="T550" s="348"/>
      <c r="U550" s="348"/>
      <c r="V550" s="340"/>
      <c r="W550" s="340"/>
      <c r="X550" s="340"/>
      <c r="Y550" s="340"/>
    </row>
    <row r="551" spans="1:25" ht="15" thickBot="1" x14ac:dyDescent="0.3">
      <c r="A551" s="325"/>
      <c r="B551" s="325"/>
      <c r="C551" s="325"/>
      <c r="D551" s="325"/>
      <c r="E551" s="325"/>
      <c r="F551" s="325"/>
      <c r="G551" s="325"/>
      <c r="H551" s="325"/>
      <c r="I551" s="325"/>
      <c r="J551" s="325"/>
      <c r="K551" s="339"/>
      <c r="L551" s="340"/>
      <c r="M551" s="340"/>
      <c r="N551" s="340"/>
      <c r="O551" s="340"/>
      <c r="P551" s="340"/>
      <c r="Q551" s="340"/>
      <c r="R551" s="340"/>
      <c r="S551" s="348"/>
      <c r="T551" s="348"/>
      <c r="U551" s="348"/>
      <c r="V551" s="340"/>
      <c r="W551" s="340"/>
      <c r="X551" s="340"/>
      <c r="Y551" s="340"/>
    </row>
    <row r="552" spans="1:25" ht="15" thickBot="1" x14ac:dyDescent="0.3">
      <c r="A552" s="325"/>
      <c r="B552" s="325"/>
      <c r="C552" s="325"/>
      <c r="D552" s="325"/>
      <c r="E552" s="325"/>
      <c r="F552" s="325"/>
      <c r="G552" s="325"/>
      <c r="H552" s="325"/>
      <c r="I552" s="325"/>
      <c r="J552" s="325"/>
      <c r="K552" s="339"/>
      <c r="L552" s="340"/>
      <c r="M552" s="340"/>
      <c r="N552" s="340"/>
      <c r="O552" s="340"/>
      <c r="P552" s="340"/>
      <c r="Q552" s="340"/>
      <c r="R552" s="340"/>
      <c r="S552" s="348"/>
      <c r="T552" s="348"/>
      <c r="U552" s="348"/>
      <c r="V552" s="340"/>
      <c r="W552" s="340"/>
      <c r="X552" s="340"/>
      <c r="Y552" s="340"/>
    </row>
    <row r="553" spans="1:25" ht="15" thickBot="1" x14ac:dyDescent="0.3">
      <c r="A553" s="325"/>
      <c r="B553" s="325"/>
      <c r="C553" s="325"/>
      <c r="D553" s="325"/>
      <c r="E553" s="325"/>
      <c r="F553" s="325"/>
      <c r="G553" s="325"/>
      <c r="H553" s="325"/>
      <c r="I553" s="325"/>
      <c r="J553" s="325"/>
      <c r="K553" s="339"/>
      <c r="L553" s="340"/>
      <c r="M553" s="340"/>
      <c r="N553" s="340"/>
      <c r="O553" s="340"/>
      <c r="P553" s="340"/>
      <c r="Q553" s="340"/>
      <c r="R553" s="340"/>
      <c r="S553" s="348"/>
      <c r="T553" s="348"/>
      <c r="U553" s="348"/>
      <c r="V553" s="340"/>
      <c r="W553" s="340"/>
      <c r="X553" s="340"/>
      <c r="Y553" s="340"/>
    </row>
    <row r="554" spans="1:25" ht="15" thickBot="1" x14ac:dyDescent="0.3">
      <c r="A554" s="325"/>
      <c r="B554" s="325"/>
      <c r="C554" s="325"/>
      <c r="D554" s="325"/>
      <c r="E554" s="325"/>
      <c r="F554" s="325"/>
      <c r="G554" s="325"/>
      <c r="H554" s="325"/>
      <c r="I554" s="325"/>
      <c r="J554" s="325"/>
      <c r="K554" s="339"/>
      <c r="L554" s="340"/>
      <c r="M554" s="340"/>
      <c r="N554" s="340"/>
      <c r="O554" s="340"/>
      <c r="P554" s="340"/>
      <c r="Q554" s="340"/>
      <c r="R554" s="340"/>
      <c r="S554" s="348"/>
      <c r="T554" s="348"/>
      <c r="U554" s="348"/>
      <c r="V554" s="340"/>
      <c r="W554" s="340"/>
      <c r="X554" s="340"/>
      <c r="Y554" s="340"/>
    </row>
    <row r="555" spans="1:25" ht="15" thickBot="1" x14ac:dyDescent="0.3">
      <c r="A555" s="325"/>
      <c r="B555" s="325"/>
      <c r="C555" s="325"/>
      <c r="D555" s="325"/>
      <c r="E555" s="325"/>
      <c r="F555" s="325"/>
      <c r="G555" s="325"/>
      <c r="H555" s="325"/>
      <c r="I555" s="325"/>
      <c r="J555" s="325"/>
      <c r="K555" s="339"/>
      <c r="L555" s="340"/>
      <c r="M555" s="340"/>
      <c r="N555" s="340"/>
      <c r="O555" s="340"/>
      <c r="P555" s="340"/>
      <c r="Q555" s="340"/>
      <c r="R555" s="340"/>
      <c r="S555" s="348"/>
      <c r="T555" s="348"/>
      <c r="U555" s="348"/>
      <c r="V555" s="340"/>
      <c r="W555" s="340"/>
      <c r="X555" s="340"/>
      <c r="Y555" s="340"/>
    </row>
    <row r="556" spans="1:25" ht="15" thickBot="1" x14ac:dyDescent="0.3">
      <c r="A556" s="325"/>
      <c r="B556" s="325"/>
      <c r="C556" s="325"/>
      <c r="D556" s="325"/>
      <c r="E556" s="325"/>
      <c r="F556" s="325"/>
      <c r="G556" s="325"/>
      <c r="H556" s="325"/>
      <c r="I556" s="325"/>
      <c r="J556" s="325"/>
      <c r="K556" s="339"/>
      <c r="L556" s="340"/>
      <c r="M556" s="340"/>
      <c r="N556" s="340"/>
      <c r="O556" s="340"/>
      <c r="P556" s="340"/>
      <c r="Q556" s="340"/>
      <c r="R556" s="340"/>
      <c r="S556" s="348"/>
      <c r="T556" s="348"/>
      <c r="U556" s="348"/>
      <c r="V556" s="340"/>
      <c r="W556" s="340"/>
      <c r="X556" s="340"/>
      <c r="Y556" s="340"/>
    </row>
    <row r="557" spans="1:25" ht="15" thickBot="1" x14ac:dyDescent="0.3">
      <c r="A557" s="325"/>
      <c r="B557" s="325"/>
      <c r="C557" s="325"/>
      <c r="D557" s="325"/>
      <c r="E557" s="325"/>
      <c r="F557" s="325"/>
      <c r="G557" s="325"/>
      <c r="H557" s="325"/>
      <c r="I557" s="325"/>
      <c r="J557" s="325"/>
      <c r="K557" s="339"/>
      <c r="L557" s="340"/>
      <c r="M557" s="340"/>
      <c r="N557" s="340"/>
      <c r="O557" s="340"/>
      <c r="P557" s="340"/>
      <c r="Q557" s="340"/>
      <c r="R557" s="340"/>
      <c r="S557" s="348"/>
      <c r="T557" s="348"/>
      <c r="U557" s="348"/>
      <c r="V557" s="340"/>
      <c r="W557" s="340"/>
      <c r="X557" s="340"/>
      <c r="Y557" s="340"/>
    </row>
    <row r="558" spans="1:25" ht="15" thickBot="1" x14ac:dyDescent="0.3">
      <c r="A558" s="325"/>
      <c r="B558" s="325"/>
      <c r="C558" s="325"/>
      <c r="D558" s="325"/>
      <c r="E558" s="325"/>
      <c r="F558" s="325"/>
      <c r="G558" s="325"/>
      <c r="H558" s="325"/>
      <c r="I558" s="325"/>
      <c r="J558" s="325"/>
      <c r="K558" s="339"/>
      <c r="L558" s="340"/>
      <c r="M558" s="340"/>
      <c r="N558" s="340"/>
      <c r="O558" s="340"/>
      <c r="P558" s="340"/>
      <c r="Q558" s="340"/>
      <c r="R558" s="340"/>
      <c r="S558" s="348"/>
      <c r="T558" s="348"/>
      <c r="U558" s="348"/>
      <c r="V558" s="340"/>
      <c r="W558" s="340"/>
      <c r="X558" s="340"/>
      <c r="Y558" s="340"/>
    </row>
    <row r="559" spans="1:25" ht="15" thickBot="1" x14ac:dyDescent="0.3">
      <c r="A559" s="325"/>
      <c r="B559" s="325"/>
      <c r="C559" s="325"/>
      <c r="D559" s="325"/>
      <c r="E559" s="325"/>
      <c r="F559" s="325"/>
      <c r="G559" s="325"/>
      <c r="H559" s="325"/>
      <c r="I559" s="325"/>
      <c r="J559" s="325"/>
      <c r="K559" s="339"/>
      <c r="L559" s="340"/>
      <c r="M559" s="340"/>
      <c r="N559" s="340"/>
      <c r="O559" s="340"/>
      <c r="P559" s="340"/>
      <c r="Q559" s="340"/>
      <c r="R559" s="340"/>
      <c r="S559" s="348"/>
      <c r="T559" s="348"/>
      <c r="U559" s="348"/>
      <c r="V559" s="340"/>
      <c r="W559" s="340"/>
      <c r="X559" s="340"/>
      <c r="Y559" s="340"/>
    </row>
    <row r="560" spans="1:25" ht="15" thickBot="1" x14ac:dyDescent="0.3">
      <c r="A560" s="325"/>
      <c r="B560" s="325"/>
      <c r="C560" s="325"/>
      <c r="D560" s="325"/>
      <c r="E560" s="325"/>
      <c r="F560" s="325"/>
      <c r="G560" s="325"/>
      <c r="H560" s="325"/>
      <c r="I560" s="325"/>
      <c r="J560" s="325"/>
      <c r="K560" s="339"/>
      <c r="L560" s="340"/>
      <c r="M560" s="340"/>
      <c r="N560" s="340"/>
      <c r="O560" s="340"/>
      <c r="P560" s="340"/>
      <c r="Q560" s="340"/>
      <c r="R560" s="340"/>
      <c r="S560" s="348"/>
      <c r="T560" s="348"/>
      <c r="U560" s="348"/>
      <c r="V560" s="340"/>
      <c r="W560" s="340"/>
      <c r="X560" s="340"/>
      <c r="Y560" s="340"/>
    </row>
    <row r="561" spans="1:25" ht="15" thickBot="1" x14ac:dyDescent="0.3">
      <c r="A561" s="325"/>
      <c r="B561" s="325"/>
      <c r="C561" s="325"/>
      <c r="D561" s="325"/>
      <c r="E561" s="325"/>
      <c r="F561" s="325"/>
      <c r="G561" s="325"/>
      <c r="H561" s="325"/>
      <c r="I561" s="325"/>
      <c r="J561" s="325"/>
      <c r="K561" s="339"/>
      <c r="L561" s="340"/>
      <c r="M561" s="340"/>
      <c r="N561" s="340"/>
      <c r="O561" s="340"/>
      <c r="P561" s="340"/>
      <c r="Q561" s="340"/>
      <c r="R561" s="340"/>
      <c r="S561" s="348"/>
      <c r="T561" s="348"/>
      <c r="U561" s="348"/>
      <c r="V561" s="340"/>
      <c r="W561" s="340"/>
      <c r="X561" s="340"/>
      <c r="Y561" s="340"/>
    </row>
    <row r="562" spans="1:25" ht="15" thickBot="1" x14ac:dyDescent="0.3">
      <c r="A562" s="325"/>
      <c r="B562" s="325"/>
      <c r="C562" s="325"/>
      <c r="D562" s="325"/>
      <c r="E562" s="325"/>
      <c r="F562" s="325"/>
      <c r="G562" s="325"/>
      <c r="H562" s="325"/>
      <c r="I562" s="325"/>
      <c r="J562" s="325"/>
      <c r="K562" s="339"/>
      <c r="L562" s="340"/>
      <c r="M562" s="340"/>
      <c r="N562" s="340"/>
      <c r="O562" s="340"/>
      <c r="P562" s="340"/>
      <c r="Q562" s="340"/>
      <c r="R562" s="340"/>
      <c r="S562" s="348"/>
      <c r="T562" s="348"/>
      <c r="U562" s="348"/>
      <c r="V562" s="340"/>
      <c r="W562" s="340"/>
      <c r="X562" s="340"/>
      <c r="Y562" s="340"/>
    </row>
    <row r="563" spans="1:25" ht="15" thickBot="1" x14ac:dyDescent="0.3">
      <c r="A563" s="325"/>
      <c r="B563" s="325"/>
      <c r="C563" s="325"/>
      <c r="D563" s="325"/>
      <c r="E563" s="325"/>
      <c r="F563" s="325"/>
      <c r="G563" s="325"/>
      <c r="H563" s="325"/>
      <c r="I563" s="325"/>
      <c r="J563" s="325"/>
      <c r="K563" s="339"/>
      <c r="L563" s="340"/>
      <c r="M563" s="340"/>
      <c r="N563" s="340"/>
      <c r="O563" s="340"/>
      <c r="P563" s="340"/>
      <c r="Q563" s="340"/>
      <c r="R563" s="340"/>
      <c r="S563" s="348"/>
      <c r="T563" s="348"/>
      <c r="U563" s="348"/>
      <c r="V563" s="340"/>
      <c r="W563" s="340"/>
      <c r="X563" s="340"/>
      <c r="Y563" s="340"/>
    </row>
    <row r="564" spans="1:25" ht="15" thickBot="1" x14ac:dyDescent="0.3">
      <c r="A564" s="325"/>
      <c r="B564" s="325"/>
      <c r="C564" s="325"/>
      <c r="D564" s="325"/>
      <c r="E564" s="325"/>
      <c r="F564" s="325"/>
      <c r="G564" s="325"/>
      <c r="H564" s="325"/>
      <c r="I564" s="325"/>
      <c r="J564" s="325"/>
      <c r="K564" s="339"/>
      <c r="L564" s="340"/>
      <c r="M564" s="340"/>
      <c r="N564" s="340"/>
      <c r="O564" s="340"/>
      <c r="P564" s="340"/>
      <c r="Q564" s="340"/>
      <c r="R564" s="340"/>
      <c r="S564" s="348"/>
      <c r="T564" s="348"/>
      <c r="U564" s="348"/>
      <c r="V564" s="340"/>
      <c r="W564" s="340"/>
      <c r="X564" s="340"/>
      <c r="Y564" s="340"/>
    </row>
    <row r="565" spans="1:25" ht="15" thickBot="1" x14ac:dyDescent="0.3">
      <c r="A565" s="325"/>
      <c r="B565" s="325"/>
      <c r="C565" s="325"/>
      <c r="D565" s="325"/>
      <c r="E565" s="325"/>
      <c r="F565" s="325"/>
      <c r="G565" s="325"/>
      <c r="H565" s="325"/>
      <c r="I565" s="325"/>
      <c r="J565" s="325"/>
      <c r="K565" s="339"/>
      <c r="L565" s="340"/>
      <c r="M565" s="340"/>
      <c r="N565" s="340"/>
      <c r="O565" s="340"/>
      <c r="P565" s="340"/>
      <c r="Q565" s="340"/>
      <c r="R565" s="340"/>
      <c r="S565" s="348"/>
      <c r="T565" s="348"/>
      <c r="U565" s="348"/>
      <c r="V565" s="340"/>
      <c r="W565" s="340"/>
      <c r="X565" s="340"/>
      <c r="Y565" s="340"/>
    </row>
    <row r="566" spans="1:25" ht="15" thickBot="1" x14ac:dyDescent="0.3">
      <c r="A566" s="325"/>
      <c r="B566" s="325"/>
      <c r="C566" s="325"/>
      <c r="D566" s="325"/>
      <c r="E566" s="325"/>
      <c r="F566" s="325"/>
      <c r="G566" s="325"/>
      <c r="H566" s="325"/>
      <c r="I566" s="325"/>
      <c r="J566" s="325"/>
      <c r="K566" s="339"/>
      <c r="L566" s="340"/>
      <c r="M566" s="340"/>
      <c r="N566" s="340"/>
      <c r="O566" s="340"/>
      <c r="P566" s="340"/>
      <c r="Q566" s="340"/>
      <c r="R566" s="340"/>
      <c r="S566" s="348"/>
      <c r="T566" s="348"/>
      <c r="U566" s="348"/>
      <c r="V566" s="340"/>
      <c r="W566" s="340"/>
      <c r="X566" s="340"/>
      <c r="Y566" s="340"/>
    </row>
    <row r="567" spans="1:25" ht="15" thickBot="1" x14ac:dyDescent="0.3">
      <c r="A567" s="325"/>
      <c r="B567" s="325"/>
      <c r="C567" s="325"/>
      <c r="D567" s="325"/>
      <c r="E567" s="325"/>
      <c r="F567" s="325"/>
      <c r="G567" s="325"/>
      <c r="H567" s="325"/>
      <c r="I567" s="325"/>
      <c r="J567" s="325"/>
      <c r="K567" s="339"/>
      <c r="L567" s="340"/>
      <c r="M567" s="340"/>
      <c r="N567" s="340"/>
      <c r="O567" s="340"/>
      <c r="P567" s="340"/>
      <c r="Q567" s="340"/>
      <c r="R567" s="340"/>
      <c r="S567" s="348"/>
      <c r="T567" s="348"/>
      <c r="U567" s="348"/>
      <c r="V567" s="340"/>
      <c r="W567" s="340"/>
      <c r="X567" s="340"/>
      <c r="Y567" s="340"/>
    </row>
    <row r="568" spans="1:25" ht="15" thickBot="1" x14ac:dyDescent="0.3">
      <c r="A568" s="325"/>
      <c r="B568" s="325"/>
      <c r="C568" s="325"/>
      <c r="D568" s="325"/>
      <c r="E568" s="325"/>
      <c r="F568" s="325"/>
      <c r="G568" s="325"/>
      <c r="H568" s="325"/>
      <c r="I568" s="325"/>
      <c r="J568" s="325"/>
      <c r="K568" s="339"/>
      <c r="L568" s="340"/>
      <c r="M568" s="340"/>
      <c r="N568" s="340"/>
      <c r="O568" s="340"/>
      <c r="P568" s="340"/>
      <c r="Q568" s="340"/>
      <c r="R568" s="340"/>
      <c r="S568" s="348"/>
      <c r="T568" s="348"/>
      <c r="U568" s="348"/>
      <c r="V568" s="340"/>
      <c r="W568" s="340"/>
      <c r="X568" s="340"/>
      <c r="Y568" s="340"/>
    </row>
    <row r="569" spans="1:25" ht="15" thickBot="1" x14ac:dyDescent="0.3">
      <c r="A569" s="325"/>
      <c r="B569" s="325"/>
      <c r="C569" s="325"/>
      <c r="D569" s="325"/>
      <c r="E569" s="325"/>
      <c r="F569" s="325"/>
      <c r="G569" s="325"/>
      <c r="H569" s="325"/>
      <c r="I569" s="325"/>
      <c r="J569" s="325"/>
      <c r="K569" s="339"/>
      <c r="L569" s="340"/>
      <c r="M569" s="340"/>
      <c r="N569" s="340"/>
      <c r="O569" s="340"/>
      <c r="P569" s="340"/>
      <c r="Q569" s="340"/>
      <c r="R569" s="340"/>
      <c r="S569" s="348"/>
      <c r="T569" s="348"/>
      <c r="U569" s="348"/>
      <c r="V569" s="340"/>
      <c r="W569" s="340"/>
      <c r="X569" s="340"/>
      <c r="Y569" s="340"/>
    </row>
    <row r="570" spans="1:25" ht="15" thickBot="1" x14ac:dyDescent="0.3">
      <c r="A570" s="325"/>
      <c r="B570" s="325"/>
      <c r="C570" s="325"/>
      <c r="D570" s="325"/>
      <c r="E570" s="325"/>
      <c r="F570" s="325"/>
      <c r="G570" s="325"/>
      <c r="H570" s="325"/>
      <c r="I570" s="325"/>
      <c r="J570" s="325"/>
      <c r="K570" s="339"/>
      <c r="L570" s="340"/>
      <c r="M570" s="340"/>
      <c r="N570" s="340"/>
      <c r="O570" s="340"/>
      <c r="P570" s="340"/>
      <c r="Q570" s="340"/>
      <c r="R570" s="340"/>
      <c r="S570" s="348"/>
      <c r="T570" s="348"/>
      <c r="U570" s="348"/>
      <c r="V570" s="340"/>
      <c r="W570" s="340"/>
      <c r="X570" s="340"/>
      <c r="Y570" s="340"/>
    </row>
    <row r="571" spans="1:25" ht="15" thickBot="1" x14ac:dyDescent="0.3">
      <c r="A571" s="325"/>
      <c r="B571" s="325"/>
      <c r="C571" s="325"/>
      <c r="D571" s="325"/>
      <c r="E571" s="325"/>
      <c r="F571" s="325"/>
      <c r="G571" s="325"/>
      <c r="H571" s="325"/>
      <c r="I571" s="325"/>
      <c r="J571" s="325"/>
      <c r="K571" s="339"/>
      <c r="L571" s="340"/>
      <c r="M571" s="340"/>
      <c r="N571" s="340"/>
      <c r="O571" s="340"/>
      <c r="P571" s="340"/>
      <c r="Q571" s="340"/>
      <c r="R571" s="340"/>
      <c r="S571" s="348"/>
      <c r="T571" s="348"/>
      <c r="U571" s="348"/>
      <c r="V571" s="340"/>
      <c r="W571" s="340"/>
      <c r="X571" s="340"/>
      <c r="Y571" s="340"/>
    </row>
    <row r="572" spans="1:25" ht="15" thickBot="1" x14ac:dyDescent="0.3">
      <c r="A572" s="325"/>
      <c r="B572" s="325"/>
      <c r="C572" s="325"/>
      <c r="D572" s="325"/>
      <c r="E572" s="325"/>
      <c r="F572" s="325"/>
      <c r="G572" s="325"/>
      <c r="H572" s="325"/>
      <c r="I572" s="325"/>
      <c r="J572" s="325"/>
      <c r="K572" s="339"/>
      <c r="L572" s="340"/>
      <c r="M572" s="340"/>
      <c r="N572" s="340"/>
      <c r="O572" s="340"/>
      <c r="P572" s="340"/>
      <c r="Q572" s="340"/>
      <c r="R572" s="340"/>
      <c r="S572" s="348"/>
      <c r="T572" s="348"/>
      <c r="U572" s="348"/>
      <c r="V572" s="340"/>
      <c r="W572" s="340"/>
      <c r="X572" s="340"/>
      <c r="Y572" s="340"/>
    </row>
    <row r="573" spans="1:25" ht="15" thickBot="1" x14ac:dyDescent="0.3">
      <c r="A573" s="325"/>
      <c r="B573" s="325"/>
      <c r="C573" s="325"/>
      <c r="D573" s="325"/>
      <c r="E573" s="325"/>
      <c r="F573" s="325"/>
      <c r="G573" s="325"/>
      <c r="H573" s="325"/>
      <c r="I573" s="325"/>
      <c r="J573" s="325"/>
      <c r="K573" s="339"/>
      <c r="L573" s="340"/>
      <c r="M573" s="340"/>
      <c r="N573" s="340"/>
      <c r="O573" s="340"/>
      <c r="P573" s="340"/>
      <c r="Q573" s="340"/>
      <c r="R573" s="340"/>
      <c r="S573" s="348"/>
      <c r="T573" s="348"/>
      <c r="U573" s="348"/>
      <c r="V573" s="340"/>
      <c r="W573" s="340"/>
      <c r="X573" s="340"/>
      <c r="Y573" s="340"/>
    </row>
    <row r="574" spans="1:25" ht="15" thickBot="1" x14ac:dyDescent="0.3">
      <c r="A574" s="325"/>
      <c r="B574" s="325"/>
      <c r="C574" s="325"/>
      <c r="D574" s="325"/>
      <c r="E574" s="325"/>
      <c r="F574" s="325"/>
      <c r="G574" s="325"/>
      <c r="H574" s="325"/>
      <c r="I574" s="325"/>
      <c r="J574" s="325"/>
      <c r="K574" s="339"/>
      <c r="L574" s="340"/>
      <c r="M574" s="340"/>
      <c r="N574" s="340"/>
      <c r="O574" s="340"/>
      <c r="P574" s="340"/>
      <c r="Q574" s="340"/>
      <c r="R574" s="340"/>
      <c r="S574" s="348"/>
      <c r="T574" s="348"/>
      <c r="U574" s="348"/>
      <c r="V574" s="340"/>
      <c r="W574" s="340"/>
      <c r="X574" s="340"/>
      <c r="Y574" s="340"/>
    </row>
    <row r="575" spans="1:25" ht="15" thickBot="1" x14ac:dyDescent="0.3">
      <c r="A575" s="325"/>
      <c r="B575" s="325"/>
      <c r="C575" s="325"/>
      <c r="D575" s="325"/>
      <c r="E575" s="325"/>
      <c r="F575" s="325"/>
      <c r="G575" s="325"/>
      <c r="H575" s="325"/>
      <c r="I575" s="325"/>
      <c r="J575" s="325"/>
      <c r="K575" s="339"/>
      <c r="L575" s="340"/>
      <c r="M575" s="340"/>
      <c r="N575" s="340"/>
      <c r="O575" s="340"/>
      <c r="P575" s="340"/>
      <c r="Q575" s="340"/>
      <c r="R575" s="340"/>
      <c r="S575" s="348"/>
      <c r="T575" s="348"/>
      <c r="U575" s="348"/>
      <c r="V575" s="340"/>
      <c r="W575" s="340"/>
      <c r="X575" s="340"/>
      <c r="Y575" s="340"/>
    </row>
    <row r="576" spans="1:25" ht="15" thickBot="1" x14ac:dyDescent="0.3">
      <c r="A576" s="325"/>
      <c r="B576" s="325"/>
      <c r="C576" s="325"/>
      <c r="D576" s="325"/>
      <c r="E576" s="325"/>
      <c r="F576" s="325"/>
      <c r="G576" s="325"/>
      <c r="H576" s="325"/>
      <c r="I576" s="325"/>
      <c r="J576" s="325"/>
      <c r="K576" s="339"/>
      <c r="L576" s="340"/>
      <c r="M576" s="340"/>
      <c r="N576" s="340"/>
      <c r="O576" s="340"/>
      <c r="P576" s="340"/>
      <c r="Q576" s="340"/>
      <c r="R576" s="340"/>
      <c r="S576" s="348"/>
      <c r="T576" s="348"/>
      <c r="U576" s="348"/>
      <c r="V576" s="340"/>
      <c r="W576" s="340"/>
      <c r="X576" s="340"/>
      <c r="Y576" s="340"/>
    </row>
    <row r="577" spans="1:25" ht="15" thickBot="1" x14ac:dyDescent="0.3">
      <c r="A577" s="325"/>
      <c r="B577" s="325"/>
      <c r="C577" s="325"/>
      <c r="D577" s="325"/>
      <c r="E577" s="325"/>
      <c r="F577" s="325"/>
      <c r="G577" s="325"/>
      <c r="H577" s="325"/>
      <c r="I577" s="325"/>
      <c r="J577" s="325"/>
      <c r="K577" s="339"/>
      <c r="L577" s="340"/>
      <c r="M577" s="340"/>
      <c r="N577" s="340"/>
      <c r="O577" s="340"/>
      <c r="P577" s="340"/>
      <c r="Q577" s="340"/>
      <c r="R577" s="340"/>
      <c r="S577" s="348"/>
      <c r="T577" s="348"/>
      <c r="U577" s="348"/>
      <c r="V577" s="340"/>
      <c r="W577" s="340"/>
      <c r="X577" s="340"/>
      <c r="Y577" s="340"/>
    </row>
    <row r="578" spans="1:25" ht="15" thickBot="1" x14ac:dyDescent="0.3">
      <c r="A578" s="325"/>
      <c r="B578" s="325"/>
      <c r="C578" s="325"/>
      <c r="D578" s="325"/>
      <c r="E578" s="325"/>
      <c r="F578" s="325"/>
      <c r="G578" s="325"/>
      <c r="H578" s="325"/>
      <c r="I578" s="325"/>
      <c r="J578" s="325"/>
      <c r="K578" s="339"/>
      <c r="L578" s="340"/>
      <c r="M578" s="340"/>
      <c r="N578" s="340"/>
      <c r="O578" s="340"/>
      <c r="P578" s="340"/>
      <c r="Q578" s="340"/>
      <c r="R578" s="340"/>
      <c r="S578" s="348"/>
      <c r="T578" s="348"/>
      <c r="U578" s="348"/>
      <c r="V578" s="340"/>
      <c r="W578" s="340"/>
      <c r="X578" s="340"/>
      <c r="Y578" s="340"/>
    </row>
    <row r="579" spans="1:25" ht="15" thickBot="1" x14ac:dyDescent="0.3">
      <c r="A579" s="325"/>
      <c r="B579" s="325"/>
      <c r="C579" s="325"/>
      <c r="D579" s="325"/>
      <c r="E579" s="325"/>
      <c r="F579" s="325"/>
      <c r="G579" s="325"/>
      <c r="H579" s="325"/>
      <c r="I579" s="325"/>
      <c r="J579" s="325"/>
      <c r="K579" s="339"/>
      <c r="L579" s="340"/>
      <c r="M579" s="340"/>
      <c r="N579" s="340"/>
      <c r="O579" s="340"/>
      <c r="P579" s="340"/>
      <c r="Q579" s="340"/>
      <c r="R579" s="340"/>
      <c r="S579" s="348"/>
      <c r="T579" s="348"/>
      <c r="U579" s="348"/>
      <c r="V579" s="340"/>
      <c r="W579" s="340"/>
      <c r="X579" s="340"/>
      <c r="Y579" s="340"/>
    </row>
    <row r="580" spans="1:25" ht="15" thickBot="1" x14ac:dyDescent="0.3">
      <c r="A580" s="325"/>
      <c r="B580" s="325"/>
      <c r="C580" s="325"/>
      <c r="D580" s="325"/>
      <c r="E580" s="325"/>
      <c r="F580" s="325"/>
      <c r="G580" s="325"/>
      <c r="H580" s="325"/>
      <c r="I580" s="325"/>
      <c r="J580" s="325"/>
      <c r="K580" s="339"/>
      <c r="L580" s="340"/>
      <c r="M580" s="340"/>
      <c r="N580" s="340"/>
      <c r="O580" s="340"/>
      <c r="P580" s="340"/>
      <c r="Q580" s="340"/>
      <c r="R580" s="340"/>
      <c r="S580" s="348"/>
      <c r="T580" s="348"/>
      <c r="U580" s="348"/>
      <c r="V580" s="340"/>
      <c r="W580" s="340"/>
      <c r="X580" s="340"/>
      <c r="Y580" s="340"/>
    </row>
    <row r="581" spans="1:25" ht="15" thickBot="1" x14ac:dyDescent="0.3">
      <c r="A581" s="325"/>
      <c r="B581" s="325"/>
      <c r="C581" s="325"/>
      <c r="D581" s="325"/>
      <c r="E581" s="325"/>
      <c r="F581" s="325"/>
      <c r="G581" s="325"/>
      <c r="H581" s="325"/>
      <c r="I581" s="325"/>
      <c r="J581" s="325"/>
      <c r="K581" s="339"/>
      <c r="L581" s="340"/>
      <c r="M581" s="340"/>
      <c r="N581" s="340"/>
      <c r="O581" s="340"/>
      <c r="P581" s="340"/>
      <c r="Q581" s="340"/>
      <c r="R581" s="340"/>
      <c r="S581" s="348"/>
      <c r="T581" s="348"/>
      <c r="U581" s="348"/>
      <c r="V581" s="340"/>
      <c r="W581" s="340"/>
      <c r="X581" s="340"/>
      <c r="Y581" s="340"/>
    </row>
    <row r="582" spans="1:25" ht="15" thickBot="1" x14ac:dyDescent="0.3">
      <c r="A582" s="325"/>
      <c r="B582" s="325"/>
      <c r="C582" s="325"/>
      <c r="D582" s="325"/>
      <c r="E582" s="325"/>
      <c r="F582" s="325"/>
      <c r="G582" s="325"/>
      <c r="H582" s="325"/>
      <c r="I582" s="325"/>
      <c r="J582" s="325"/>
      <c r="K582" s="339"/>
      <c r="L582" s="340"/>
      <c r="M582" s="340"/>
      <c r="N582" s="340"/>
      <c r="O582" s="340"/>
      <c r="P582" s="340"/>
      <c r="Q582" s="340"/>
      <c r="R582" s="340"/>
      <c r="S582" s="348"/>
      <c r="T582" s="348"/>
      <c r="U582" s="348"/>
      <c r="V582" s="340"/>
      <c r="W582" s="340"/>
      <c r="X582" s="340"/>
      <c r="Y582" s="340"/>
    </row>
    <row r="583" spans="1:25" ht="15" thickBot="1" x14ac:dyDescent="0.3">
      <c r="A583" s="325"/>
      <c r="B583" s="325"/>
      <c r="C583" s="325"/>
      <c r="D583" s="325"/>
      <c r="E583" s="325"/>
      <c r="F583" s="325"/>
      <c r="G583" s="325"/>
      <c r="H583" s="325"/>
      <c r="I583" s="325"/>
      <c r="J583" s="325"/>
      <c r="K583" s="339"/>
      <c r="L583" s="340"/>
      <c r="M583" s="340"/>
      <c r="N583" s="340"/>
      <c r="O583" s="340"/>
      <c r="P583" s="340"/>
      <c r="Q583" s="340"/>
      <c r="R583" s="340"/>
      <c r="S583" s="348"/>
      <c r="T583" s="348"/>
      <c r="U583" s="348"/>
      <c r="V583" s="340"/>
      <c r="W583" s="340"/>
      <c r="X583" s="340"/>
      <c r="Y583" s="340"/>
    </row>
    <row r="584" spans="1:25" ht="15" thickBot="1" x14ac:dyDescent="0.3">
      <c r="A584" s="325"/>
      <c r="B584" s="325"/>
      <c r="C584" s="325"/>
      <c r="D584" s="325"/>
      <c r="E584" s="325"/>
      <c r="F584" s="325"/>
      <c r="G584" s="325"/>
      <c r="H584" s="325"/>
      <c r="I584" s="325"/>
      <c r="J584" s="325"/>
      <c r="K584" s="339"/>
      <c r="L584" s="340"/>
      <c r="M584" s="340"/>
      <c r="N584" s="340"/>
      <c r="O584" s="340"/>
      <c r="P584" s="340"/>
      <c r="Q584" s="340"/>
      <c r="R584" s="340"/>
      <c r="S584" s="348"/>
      <c r="T584" s="348"/>
      <c r="U584" s="348"/>
      <c r="V584" s="340"/>
      <c r="W584" s="340"/>
      <c r="X584" s="340"/>
      <c r="Y584" s="340"/>
    </row>
    <row r="585" spans="1:25" ht="15" thickBot="1" x14ac:dyDescent="0.3">
      <c r="A585" s="325"/>
      <c r="B585" s="325"/>
      <c r="C585" s="325"/>
      <c r="D585" s="325"/>
      <c r="E585" s="325"/>
      <c r="F585" s="325"/>
      <c r="G585" s="325"/>
      <c r="H585" s="325"/>
      <c r="I585" s="325"/>
      <c r="J585" s="325"/>
      <c r="K585" s="339"/>
      <c r="L585" s="340"/>
      <c r="M585" s="340"/>
      <c r="N585" s="340"/>
      <c r="O585" s="340"/>
      <c r="P585" s="340"/>
      <c r="Q585" s="340"/>
      <c r="R585" s="340"/>
      <c r="S585" s="348"/>
      <c r="T585" s="348"/>
      <c r="U585" s="348"/>
      <c r="V585" s="340"/>
      <c r="W585" s="340"/>
      <c r="X585" s="340"/>
      <c r="Y585" s="340"/>
    </row>
    <row r="586" spans="1:25" ht="15" thickBot="1" x14ac:dyDescent="0.3">
      <c r="A586" s="325"/>
      <c r="B586" s="325"/>
      <c r="C586" s="325"/>
      <c r="D586" s="325"/>
      <c r="E586" s="325"/>
      <c r="F586" s="325"/>
      <c r="G586" s="325"/>
      <c r="H586" s="325"/>
      <c r="I586" s="325"/>
      <c r="J586" s="325"/>
      <c r="K586" s="339"/>
      <c r="L586" s="340"/>
      <c r="M586" s="340"/>
      <c r="N586" s="340"/>
      <c r="O586" s="340"/>
      <c r="P586" s="340"/>
      <c r="Q586" s="340"/>
      <c r="R586" s="340"/>
      <c r="S586" s="348"/>
      <c r="T586" s="348"/>
      <c r="U586" s="348"/>
      <c r="V586" s="340"/>
      <c r="W586" s="340"/>
      <c r="X586" s="340"/>
      <c r="Y586" s="340"/>
    </row>
    <row r="587" spans="1:25" ht="15" thickBot="1" x14ac:dyDescent="0.3">
      <c r="A587" s="325"/>
      <c r="B587" s="325"/>
      <c r="C587" s="325"/>
      <c r="D587" s="325"/>
      <c r="E587" s="325"/>
      <c r="F587" s="325"/>
      <c r="G587" s="325"/>
      <c r="H587" s="325"/>
      <c r="I587" s="325"/>
      <c r="J587" s="325"/>
      <c r="K587" s="339"/>
      <c r="L587" s="340"/>
      <c r="M587" s="340"/>
      <c r="N587" s="340"/>
      <c r="O587" s="340"/>
      <c r="P587" s="340"/>
      <c r="Q587" s="340"/>
      <c r="R587" s="340"/>
      <c r="S587" s="348"/>
      <c r="T587" s="348"/>
      <c r="U587" s="348"/>
      <c r="V587" s="340"/>
      <c r="W587" s="340"/>
      <c r="X587" s="340"/>
      <c r="Y587" s="340"/>
    </row>
    <row r="588" spans="1:25" ht="15" thickBot="1" x14ac:dyDescent="0.3">
      <c r="A588" s="325"/>
      <c r="B588" s="325"/>
      <c r="C588" s="325"/>
      <c r="D588" s="325"/>
      <c r="E588" s="325"/>
      <c r="F588" s="325"/>
      <c r="G588" s="325"/>
      <c r="H588" s="325"/>
      <c r="I588" s="325"/>
      <c r="J588" s="325"/>
      <c r="K588" s="339"/>
      <c r="L588" s="340"/>
      <c r="M588" s="340"/>
      <c r="N588" s="340"/>
      <c r="O588" s="340"/>
      <c r="P588" s="340"/>
      <c r="Q588" s="340"/>
      <c r="R588" s="340"/>
      <c r="S588" s="348"/>
      <c r="T588" s="348"/>
      <c r="U588" s="348"/>
      <c r="V588" s="340"/>
      <c r="W588" s="340"/>
      <c r="X588" s="340"/>
      <c r="Y588" s="340"/>
    </row>
    <row r="589" spans="1:25" ht="15" thickBot="1" x14ac:dyDescent="0.3">
      <c r="A589" s="325"/>
      <c r="B589" s="325"/>
      <c r="C589" s="325"/>
      <c r="D589" s="325"/>
      <c r="E589" s="325"/>
      <c r="F589" s="325"/>
      <c r="G589" s="325"/>
      <c r="H589" s="325"/>
      <c r="I589" s="325"/>
      <c r="J589" s="325"/>
      <c r="K589" s="339"/>
      <c r="L589" s="340"/>
      <c r="M589" s="340"/>
      <c r="N589" s="340"/>
      <c r="O589" s="340"/>
      <c r="P589" s="340"/>
      <c r="Q589" s="340"/>
      <c r="R589" s="340"/>
      <c r="S589" s="348"/>
      <c r="T589" s="348"/>
      <c r="U589" s="348"/>
      <c r="V589" s="340"/>
      <c r="W589" s="340"/>
      <c r="X589" s="340"/>
      <c r="Y589" s="340"/>
    </row>
    <row r="590" spans="1:25" ht="15" thickBot="1" x14ac:dyDescent="0.3">
      <c r="A590" s="325"/>
      <c r="B590" s="325"/>
      <c r="C590" s="325"/>
      <c r="D590" s="325"/>
      <c r="E590" s="325"/>
      <c r="F590" s="325"/>
      <c r="G590" s="325"/>
      <c r="H590" s="325"/>
      <c r="I590" s="325"/>
      <c r="J590" s="325"/>
      <c r="K590" s="339"/>
      <c r="L590" s="340"/>
      <c r="M590" s="340"/>
      <c r="N590" s="340"/>
      <c r="O590" s="340"/>
      <c r="P590" s="340"/>
      <c r="Q590" s="340"/>
      <c r="R590" s="340"/>
      <c r="S590" s="348"/>
      <c r="T590" s="348"/>
      <c r="U590" s="348"/>
      <c r="V590" s="340"/>
      <c r="W590" s="340"/>
      <c r="X590" s="340"/>
      <c r="Y590" s="340"/>
    </row>
    <row r="591" spans="1:25" ht="15" thickBot="1" x14ac:dyDescent="0.3">
      <c r="A591" s="325"/>
      <c r="B591" s="325"/>
      <c r="C591" s="325"/>
      <c r="D591" s="325"/>
      <c r="E591" s="325"/>
      <c r="F591" s="325"/>
      <c r="G591" s="325"/>
      <c r="H591" s="325"/>
      <c r="I591" s="325"/>
      <c r="J591" s="325"/>
      <c r="K591" s="339"/>
      <c r="L591" s="340"/>
      <c r="M591" s="340"/>
      <c r="N591" s="340"/>
      <c r="O591" s="340"/>
      <c r="P591" s="340"/>
      <c r="Q591" s="340"/>
      <c r="R591" s="340"/>
      <c r="S591" s="348"/>
      <c r="T591" s="348"/>
      <c r="U591" s="348"/>
      <c r="V591" s="340"/>
      <c r="W591" s="340"/>
      <c r="X591" s="340"/>
      <c r="Y591" s="340"/>
    </row>
    <row r="592" spans="1:25" ht="15" thickBot="1" x14ac:dyDescent="0.3">
      <c r="A592" s="325"/>
      <c r="B592" s="325"/>
      <c r="C592" s="325"/>
      <c r="D592" s="325"/>
      <c r="E592" s="325"/>
      <c r="F592" s="325"/>
      <c r="G592" s="325"/>
      <c r="H592" s="325"/>
      <c r="I592" s="325"/>
      <c r="J592" s="325"/>
      <c r="K592" s="339"/>
      <c r="L592" s="340"/>
      <c r="M592" s="340"/>
      <c r="N592" s="340"/>
      <c r="O592" s="340"/>
      <c r="P592" s="340"/>
      <c r="Q592" s="340"/>
      <c r="R592" s="340"/>
      <c r="S592" s="348"/>
      <c r="T592" s="348"/>
      <c r="U592" s="348"/>
      <c r="V592" s="340"/>
      <c r="W592" s="340"/>
      <c r="X592" s="340"/>
      <c r="Y592" s="340"/>
    </row>
    <row r="593" spans="1:25" ht="15" thickBot="1" x14ac:dyDescent="0.3">
      <c r="A593" s="325"/>
      <c r="B593" s="325"/>
      <c r="C593" s="325"/>
      <c r="D593" s="325"/>
      <c r="E593" s="325"/>
      <c r="F593" s="325"/>
      <c r="G593" s="325"/>
      <c r="H593" s="325"/>
      <c r="I593" s="325"/>
      <c r="J593" s="325"/>
      <c r="K593" s="339"/>
      <c r="L593" s="340"/>
      <c r="M593" s="340"/>
      <c r="N593" s="340"/>
      <c r="O593" s="340"/>
      <c r="P593" s="340"/>
      <c r="Q593" s="340"/>
      <c r="R593" s="340"/>
      <c r="S593" s="348"/>
      <c r="T593" s="348"/>
      <c r="U593" s="348"/>
      <c r="V593" s="340"/>
      <c r="W593" s="340"/>
      <c r="X593" s="340"/>
      <c r="Y593" s="340"/>
    </row>
    <row r="594" spans="1:25" ht="15" thickBot="1" x14ac:dyDescent="0.3">
      <c r="A594" s="325"/>
      <c r="B594" s="325"/>
      <c r="C594" s="325"/>
      <c r="D594" s="325"/>
      <c r="E594" s="325"/>
      <c r="F594" s="325"/>
      <c r="G594" s="325"/>
      <c r="H594" s="325"/>
      <c r="I594" s="325"/>
      <c r="J594" s="325"/>
      <c r="K594" s="339"/>
      <c r="L594" s="340"/>
      <c r="M594" s="340"/>
      <c r="N594" s="340"/>
      <c r="O594" s="340"/>
      <c r="P594" s="340"/>
      <c r="Q594" s="340"/>
      <c r="R594" s="340"/>
      <c r="S594" s="348"/>
      <c r="T594" s="348"/>
      <c r="U594" s="348"/>
      <c r="V594" s="340"/>
      <c r="W594" s="340"/>
      <c r="X594" s="340"/>
      <c r="Y594" s="340"/>
    </row>
    <row r="595" spans="1:25" ht="15" thickBot="1" x14ac:dyDescent="0.3">
      <c r="A595" s="325"/>
      <c r="B595" s="325"/>
      <c r="C595" s="325"/>
      <c r="D595" s="325"/>
      <c r="E595" s="325"/>
      <c r="F595" s="325"/>
      <c r="G595" s="325"/>
      <c r="H595" s="325"/>
      <c r="I595" s="325"/>
      <c r="J595" s="325"/>
      <c r="K595" s="339"/>
      <c r="L595" s="340"/>
      <c r="M595" s="340"/>
      <c r="N595" s="340"/>
      <c r="O595" s="340"/>
      <c r="P595" s="340"/>
      <c r="Q595" s="340"/>
      <c r="R595" s="340"/>
      <c r="S595" s="348"/>
      <c r="T595" s="348"/>
      <c r="U595" s="348"/>
      <c r="V595" s="340"/>
      <c r="W595" s="340"/>
      <c r="X595" s="340"/>
      <c r="Y595" s="340"/>
    </row>
    <row r="596" spans="1:25" ht="15" thickBot="1" x14ac:dyDescent="0.3">
      <c r="A596" s="325"/>
      <c r="B596" s="325"/>
      <c r="C596" s="325"/>
      <c r="D596" s="325"/>
      <c r="E596" s="325"/>
      <c r="F596" s="325"/>
      <c r="G596" s="325"/>
      <c r="H596" s="325"/>
      <c r="I596" s="325"/>
      <c r="J596" s="325"/>
      <c r="K596" s="339"/>
      <c r="L596" s="340"/>
      <c r="M596" s="340"/>
      <c r="N596" s="340"/>
      <c r="O596" s="340"/>
      <c r="P596" s="340"/>
      <c r="Q596" s="340"/>
      <c r="R596" s="340"/>
      <c r="S596" s="348"/>
      <c r="T596" s="348"/>
      <c r="U596" s="348"/>
      <c r="V596" s="340"/>
      <c r="W596" s="340"/>
      <c r="X596" s="340"/>
      <c r="Y596" s="340"/>
    </row>
    <row r="597" spans="1:25" ht="15" thickBot="1" x14ac:dyDescent="0.3">
      <c r="A597" s="325"/>
      <c r="B597" s="325"/>
      <c r="C597" s="325"/>
      <c r="D597" s="325"/>
      <c r="E597" s="325"/>
      <c r="F597" s="325"/>
      <c r="G597" s="325"/>
      <c r="H597" s="325"/>
      <c r="I597" s="325"/>
      <c r="J597" s="325"/>
      <c r="K597" s="339"/>
      <c r="L597" s="340"/>
      <c r="M597" s="340"/>
      <c r="N597" s="340"/>
      <c r="O597" s="340"/>
      <c r="P597" s="340"/>
      <c r="Q597" s="340"/>
      <c r="R597" s="340"/>
      <c r="S597" s="348"/>
      <c r="T597" s="348"/>
      <c r="U597" s="348"/>
      <c r="V597" s="340"/>
      <c r="W597" s="340"/>
      <c r="X597" s="340"/>
      <c r="Y597" s="340"/>
    </row>
    <row r="598" spans="1:25" ht="15" thickBot="1" x14ac:dyDescent="0.3">
      <c r="A598" s="325"/>
      <c r="B598" s="325"/>
      <c r="C598" s="325"/>
      <c r="D598" s="325"/>
      <c r="E598" s="325"/>
      <c r="F598" s="325"/>
      <c r="G598" s="325"/>
      <c r="H598" s="325"/>
      <c r="I598" s="325"/>
      <c r="J598" s="325"/>
      <c r="K598" s="339"/>
      <c r="L598" s="340"/>
      <c r="M598" s="340"/>
      <c r="N598" s="340"/>
      <c r="O598" s="340"/>
      <c r="P598" s="340"/>
      <c r="Q598" s="340"/>
      <c r="R598" s="340"/>
      <c r="S598" s="348"/>
      <c r="T598" s="348"/>
      <c r="U598" s="348"/>
      <c r="V598" s="340"/>
      <c r="W598" s="340"/>
      <c r="X598" s="340"/>
      <c r="Y598" s="340"/>
    </row>
    <row r="599" spans="1:25" ht="15" thickBot="1" x14ac:dyDescent="0.3">
      <c r="A599" s="325"/>
      <c r="B599" s="325"/>
      <c r="C599" s="325"/>
      <c r="D599" s="325"/>
      <c r="E599" s="325"/>
      <c r="F599" s="325"/>
      <c r="G599" s="325"/>
      <c r="H599" s="325"/>
      <c r="I599" s="325"/>
      <c r="J599" s="325"/>
      <c r="K599" s="339"/>
      <c r="L599" s="340"/>
      <c r="M599" s="340"/>
      <c r="N599" s="340"/>
      <c r="O599" s="340"/>
      <c r="P599" s="340"/>
      <c r="Q599" s="340"/>
      <c r="R599" s="340"/>
      <c r="S599" s="348"/>
      <c r="T599" s="348"/>
      <c r="U599" s="348"/>
      <c r="V599" s="340"/>
      <c r="W599" s="340"/>
      <c r="X599" s="340"/>
      <c r="Y599" s="340"/>
    </row>
    <row r="600" spans="1:25" ht="15" thickBot="1" x14ac:dyDescent="0.3">
      <c r="A600" s="325"/>
      <c r="B600" s="325"/>
      <c r="C600" s="325"/>
      <c r="D600" s="325"/>
      <c r="E600" s="325"/>
      <c r="F600" s="325"/>
      <c r="G600" s="325"/>
      <c r="H600" s="325"/>
      <c r="I600" s="325"/>
      <c r="J600" s="325"/>
      <c r="K600" s="339"/>
      <c r="L600" s="340"/>
      <c r="M600" s="340"/>
      <c r="N600" s="340"/>
      <c r="O600" s="340"/>
      <c r="P600" s="340"/>
      <c r="Q600" s="340"/>
      <c r="R600" s="340"/>
      <c r="S600" s="348"/>
      <c r="T600" s="348"/>
      <c r="U600" s="348"/>
      <c r="V600" s="340"/>
      <c r="W600" s="340"/>
      <c r="X600" s="340"/>
      <c r="Y600" s="340"/>
    </row>
    <row r="601" spans="1:25" ht="15" thickBot="1" x14ac:dyDescent="0.3">
      <c r="A601" s="325"/>
      <c r="B601" s="325"/>
      <c r="C601" s="325"/>
      <c r="D601" s="325"/>
      <c r="E601" s="325"/>
      <c r="F601" s="325"/>
      <c r="G601" s="325"/>
      <c r="H601" s="325"/>
      <c r="I601" s="325"/>
      <c r="J601" s="325"/>
      <c r="K601" s="339"/>
      <c r="L601" s="340"/>
      <c r="M601" s="340"/>
      <c r="N601" s="340"/>
      <c r="O601" s="340"/>
      <c r="P601" s="340"/>
      <c r="Q601" s="340"/>
      <c r="R601" s="340"/>
      <c r="S601" s="348"/>
      <c r="T601" s="348"/>
      <c r="U601" s="348"/>
      <c r="V601" s="340"/>
      <c r="W601" s="340"/>
      <c r="X601" s="340"/>
      <c r="Y601" s="340"/>
    </row>
    <row r="602" spans="1:25" ht="15" thickBot="1" x14ac:dyDescent="0.3">
      <c r="A602" s="325"/>
      <c r="B602" s="325"/>
      <c r="C602" s="325"/>
      <c r="D602" s="325"/>
      <c r="E602" s="325"/>
      <c r="F602" s="325"/>
      <c r="G602" s="325"/>
      <c r="H602" s="325"/>
      <c r="I602" s="325"/>
      <c r="J602" s="325"/>
      <c r="K602" s="339"/>
      <c r="L602" s="340"/>
      <c r="M602" s="340"/>
      <c r="N602" s="340"/>
      <c r="O602" s="340"/>
      <c r="P602" s="340"/>
      <c r="Q602" s="340"/>
      <c r="R602" s="340"/>
      <c r="S602" s="348"/>
      <c r="T602" s="348"/>
      <c r="U602" s="348"/>
      <c r="V602" s="340"/>
      <c r="W602" s="340"/>
      <c r="X602" s="340"/>
      <c r="Y602" s="340"/>
    </row>
    <row r="603" spans="1:25" ht="15" thickBot="1" x14ac:dyDescent="0.3">
      <c r="A603" s="325"/>
      <c r="B603" s="325"/>
      <c r="C603" s="325"/>
      <c r="D603" s="325"/>
      <c r="E603" s="325"/>
      <c r="F603" s="325"/>
      <c r="G603" s="325"/>
      <c r="H603" s="325"/>
      <c r="I603" s="325"/>
      <c r="J603" s="325"/>
      <c r="K603" s="339"/>
      <c r="L603" s="340"/>
      <c r="M603" s="340"/>
      <c r="N603" s="340"/>
      <c r="O603" s="340"/>
      <c r="P603" s="340"/>
      <c r="Q603" s="340"/>
      <c r="R603" s="340"/>
      <c r="S603" s="348"/>
      <c r="T603" s="348"/>
      <c r="U603" s="348"/>
      <c r="V603" s="340"/>
      <c r="W603" s="340"/>
      <c r="X603" s="340"/>
      <c r="Y603" s="340"/>
    </row>
    <row r="604" spans="1:25" ht="15" thickBot="1" x14ac:dyDescent="0.3">
      <c r="A604" s="325"/>
      <c r="B604" s="325"/>
      <c r="C604" s="325"/>
      <c r="D604" s="325"/>
      <c r="E604" s="325"/>
      <c r="F604" s="325"/>
      <c r="G604" s="325"/>
      <c r="H604" s="325"/>
      <c r="I604" s="325"/>
      <c r="J604" s="325"/>
      <c r="K604" s="339"/>
      <c r="L604" s="340"/>
      <c r="M604" s="340"/>
      <c r="N604" s="340"/>
      <c r="O604" s="340"/>
      <c r="P604" s="340"/>
      <c r="Q604" s="340"/>
      <c r="R604" s="340"/>
      <c r="S604" s="348"/>
      <c r="T604" s="348"/>
      <c r="U604" s="348"/>
      <c r="V604" s="340"/>
      <c r="W604" s="340"/>
      <c r="X604" s="340"/>
      <c r="Y604" s="340"/>
    </row>
    <row r="605" spans="1:25" ht="15" thickBot="1" x14ac:dyDescent="0.3">
      <c r="A605" s="325"/>
      <c r="B605" s="325"/>
      <c r="C605" s="325"/>
      <c r="D605" s="325"/>
      <c r="E605" s="325"/>
      <c r="F605" s="325"/>
      <c r="G605" s="325"/>
      <c r="H605" s="325"/>
      <c r="I605" s="325"/>
      <c r="J605" s="325"/>
      <c r="K605" s="339"/>
      <c r="L605" s="340"/>
      <c r="M605" s="340"/>
      <c r="N605" s="340"/>
      <c r="O605" s="340"/>
      <c r="P605" s="340"/>
      <c r="Q605" s="340"/>
      <c r="R605" s="340"/>
      <c r="S605" s="348"/>
      <c r="T605" s="348"/>
      <c r="U605" s="348"/>
      <c r="V605" s="340"/>
      <c r="W605" s="340"/>
      <c r="X605" s="340"/>
      <c r="Y605" s="340"/>
    </row>
    <row r="606" spans="1:25" ht="15" thickBot="1" x14ac:dyDescent="0.3">
      <c r="A606" s="325"/>
      <c r="B606" s="325"/>
      <c r="C606" s="325"/>
      <c r="D606" s="325"/>
      <c r="E606" s="325"/>
      <c r="F606" s="325"/>
      <c r="G606" s="325"/>
      <c r="H606" s="325"/>
      <c r="I606" s="325"/>
      <c r="J606" s="325"/>
      <c r="K606" s="339"/>
      <c r="L606" s="340"/>
      <c r="M606" s="340"/>
      <c r="N606" s="340"/>
      <c r="O606" s="340"/>
      <c r="P606" s="340"/>
      <c r="Q606" s="340"/>
      <c r="R606" s="340"/>
      <c r="S606" s="348"/>
      <c r="T606" s="348"/>
      <c r="U606" s="348"/>
      <c r="V606" s="340"/>
      <c r="W606" s="340"/>
      <c r="X606" s="340"/>
      <c r="Y606" s="340"/>
    </row>
    <row r="607" spans="1:25" ht="15" thickBot="1" x14ac:dyDescent="0.3">
      <c r="A607" s="325"/>
      <c r="B607" s="325"/>
      <c r="C607" s="325"/>
      <c r="D607" s="325"/>
      <c r="E607" s="325"/>
      <c r="F607" s="325"/>
      <c r="G607" s="325"/>
      <c r="H607" s="325"/>
      <c r="I607" s="325"/>
      <c r="J607" s="325"/>
      <c r="K607" s="339"/>
      <c r="L607" s="340"/>
      <c r="M607" s="340"/>
      <c r="N607" s="340"/>
      <c r="O607" s="340"/>
      <c r="P607" s="340"/>
      <c r="Q607" s="340"/>
      <c r="R607" s="340"/>
      <c r="S607" s="348"/>
      <c r="T607" s="348"/>
      <c r="U607" s="348"/>
      <c r="V607" s="340"/>
      <c r="W607" s="340"/>
      <c r="X607" s="340"/>
      <c r="Y607" s="340"/>
    </row>
    <row r="608" spans="1:25" ht="15" thickBot="1" x14ac:dyDescent="0.3">
      <c r="A608" s="325"/>
      <c r="B608" s="325"/>
      <c r="C608" s="325"/>
      <c r="D608" s="325"/>
      <c r="E608" s="325"/>
      <c r="F608" s="325"/>
      <c r="G608" s="325"/>
      <c r="H608" s="325"/>
      <c r="I608" s="325"/>
      <c r="J608" s="325"/>
      <c r="K608" s="339"/>
      <c r="L608" s="340"/>
      <c r="M608" s="340"/>
      <c r="N608" s="340"/>
      <c r="O608" s="340"/>
      <c r="P608" s="340"/>
      <c r="Q608" s="340"/>
      <c r="R608" s="340"/>
      <c r="S608" s="348"/>
      <c r="T608" s="348"/>
      <c r="U608" s="348"/>
      <c r="V608" s="340"/>
      <c r="W608" s="340"/>
      <c r="X608" s="340"/>
      <c r="Y608" s="340"/>
    </row>
    <row r="609" spans="1:25" ht="15" thickBot="1" x14ac:dyDescent="0.3">
      <c r="A609" s="325"/>
      <c r="B609" s="325"/>
      <c r="C609" s="325"/>
      <c r="D609" s="325"/>
      <c r="E609" s="325"/>
      <c r="F609" s="325"/>
      <c r="G609" s="325"/>
      <c r="H609" s="325"/>
      <c r="I609" s="325"/>
      <c r="J609" s="325"/>
      <c r="K609" s="339"/>
      <c r="L609" s="340"/>
      <c r="M609" s="340"/>
      <c r="N609" s="340"/>
      <c r="O609" s="340"/>
      <c r="P609" s="340"/>
      <c r="Q609" s="340"/>
      <c r="R609" s="340"/>
      <c r="S609" s="348"/>
      <c r="T609" s="348"/>
      <c r="U609" s="348"/>
      <c r="V609" s="340"/>
      <c r="W609" s="340"/>
      <c r="X609" s="340"/>
      <c r="Y609" s="340"/>
    </row>
    <row r="610" spans="1:25" ht="15" thickBot="1" x14ac:dyDescent="0.3">
      <c r="A610" s="325"/>
      <c r="B610" s="325"/>
      <c r="C610" s="325"/>
      <c r="D610" s="325"/>
      <c r="E610" s="325"/>
      <c r="F610" s="325"/>
      <c r="G610" s="325"/>
      <c r="H610" s="325"/>
      <c r="I610" s="325"/>
      <c r="J610" s="325"/>
      <c r="K610" s="339"/>
      <c r="L610" s="340"/>
      <c r="M610" s="340"/>
      <c r="N610" s="340"/>
      <c r="O610" s="340"/>
      <c r="P610" s="340"/>
      <c r="Q610" s="340"/>
      <c r="R610" s="340"/>
      <c r="S610" s="348"/>
      <c r="T610" s="348"/>
      <c r="U610" s="348"/>
      <c r="V610" s="340"/>
      <c r="W610" s="340"/>
      <c r="X610" s="340"/>
      <c r="Y610" s="340"/>
    </row>
    <row r="611" spans="1:25" ht="15" thickBot="1" x14ac:dyDescent="0.3">
      <c r="A611" s="325"/>
      <c r="B611" s="325"/>
      <c r="C611" s="325"/>
      <c r="D611" s="325"/>
      <c r="E611" s="325"/>
      <c r="F611" s="325"/>
      <c r="G611" s="325"/>
      <c r="H611" s="325"/>
      <c r="I611" s="325"/>
      <c r="J611" s="325"/>
      <c r="K611" s="339"/>
      <c r="L611" s="340"/>
      <c r="M611" s="340"/>
      <c r="N611" s="340"/>
      <c r="O611" s="340"/>
      <c r="P611" s="340"/>
      <c r="Q611" s="340"/>
      <c r="R611" s="340"/>
      <c r="S611" s="348"/>
      <c r="T611" s="348"/>
      <c r="U611" s="348"/>
      <c r="V611" s="340"/>
      <c r="W611" s="340"/>
      <c r="X611" s="340"/>
      <c r="Y611" s="340"/>
    </row>
    <row r="612" spans="1:25" ht="15" thickBot="1" x14ac:dyDescent="0.3">
      <c r="A612" s="325"/>
      <c r="B612" s="325"/>
      <c r="C612" s="325"/>
      <c r="D612" s="325"/>
      <c r="E612" s="325"/>
      <c r="F612" s="325"/>
      <c r="G612" s="325"/>
      <c r="H612" s="325"/>
      <c r="I612" s="325"/>
      <c r="J612" s="325"/>
      <c r="K612" s="339"/>
      <c r="L612" s="340"/>
      <c r="M612" s="340"/>
      <c r="N612" s="340"/>
      <c r="O612" s="340"/>
      <c r="P612" s="340"/>
      <c r="Q612" s="340"/>
      <c r="R612" s="340"/>
      <c r="S612" s="348"/>
      <c r="T612" s="348"/>
      <c r="U612" s="348"/>
      <c r="V612" s="340"/>
      <c r="W612" s="340"/>
      <c r="X612" s="340"/>
      <c r="Y612" s="340"/>
    </row>
    <row r="613" spans="1:25" ht="15" thickBot="1" x14ac:dyDescent="0.3">
      <c r="A613" s="325"/>
      <c r="B613" s="325"/>
      <c r="C613" s="325"/>
      <c r="D613" s="325"/>
      <c r="E613" s="325"/>
      <c r="F613" s="325"/>
      <c r="G613" s="325"/>
      <c r="H613" s="325"/>
      <c r="I613" s="325"/>
      <c r="J613" s="325"/>
      <c r="K613" s="339"/>
      <c r="L613" s="340"/>
      <c r="M613" s="340"/>
      <c r="N613" s="340"/>
      <c r="O613" s="340"/>
      <c r="P613" s="340"/>
      <c r="Q613" s="340"/>
      <c r="R613" s="340"/>
      <c r="S613" s="348"/>
      <c r="T613" s="348"/>
      <c r="U613" s="348"/>
      <c r="V613" s="340"/>
      <c r="W613" s="340"/>
      <c r="X613" s="340"/>
      <c r="Y613" s="340"/>
    </row>
    <row r="614" spans="1:25" ht="15" thickBot="1" x14ac:dyDescent="0.3">
      <c r="A614" s="325"/>
      <c r="B614" s="325"/>
      <c r="C614" s="325"/>
      <c r="D614" s="325"/>
      <c r="E614" s="325"/>
      <c r="F614" s="325"/>
      <c r="G614" s="325"/>
      <c r="H614" s="325"/>
      <c r="I614" s="325"/>
      <c r="J614" s="325"/>
      <c r="K614" s="339"/>
      <c r="L614" s="340"/>
      <c r="M614" s="340"/>
      <c r="N614" s="340"/>
      <c r="O614" s="340"/>
      <c r="P614" s="340"/>
      <c r="Q614" s="340"/>
      <c r="R614" s="340"/>
      <c r="S614" s="348"/>
      <c r="T614" s="348"/>
      <c r="U614" s="348"/>
      <c r="V614" s="340"/>
      <c r="W614" s="340"/>
      <c r="X614" s="340"/>
      <c r="Y614" s="340"/>
    </row>
    <row r="615" spans="1:25" ht="15" thickBot="1" x14ac:dyDescent="0.3">
      <c r="A615" s="325"/>
      <c r="B615" s="325"/>
      <c r="C615" s="325"/>
      <c r="D615" s="325"/>
      <c r="E615" s="325"/>
      <c r="F615" s="325"/>
      <c r="G615" s="325"/>
      <c r="H615" s="325"/>
      <c r="I615" s="325"/>
      <c r="J615" s="325"/>
      <c r="K615" s="339"/>
      <c r="L615" s="340"/>
      <c r="M615" s="340"/>
      <c r="N615" s="340"/>
      <c r="O615" s="340"/>
      <c r="P615" s="340"/>
      <c r="Q615" s="340"/>
      <c r="R615" s="340"/>
      <c r="S615" s="348"/>
      <c r="T615" s="348"/>
      <c r="U615" s="348"/>
      <c r="V615" s="340"/>
      <c r="W615" s="340"/>
      <c r="X615" s="340"/>
      <c r="Y615" s="340"/>
    </row>
    <row r="616" spans="1:25" ht="15" thickBot="1" x14ac:dyDescent="0.3">
      <c r="A616" s="325"/>
      <c r="B616" s="325"/>
      <c r="C616" s="325"/>
      <c r="D616" s="325"/>
      <c r="E616" s="325"/>
      <c r="F616" s="325"/>
      <c r="G616" s="325"/>
      <c r="H616" s="325"/>
      <c r="I616" s="325"/>
      <c r="J616" s="325"/>
      <c r="K616" s="339"/>
      <c r="L616" s="340"/>
      <c r="M616" s="340"/>
      <c r="N616" s="340"/>
      <c r="O616" s="340"/>
      <c r="P616" s="340"/>
      <c r="Q616" s="340"/>
      <c r="R616" s="340"/>
      <c r="S616" s="348"/>
      <c r="T616" s="348"/>
      <c r="U616" s="348"/>
      <c r="V616" s="340"/>
      <c r="W616" s="340"/>
      <c r="X616" s="340"/>
      <c r="Y616" s="340"/>
    </row>
    <row r="617" spans="1:25" ht="15" thickBot="1" x14ac:dyDescent="0.3">
      <c r="A617" s="325"/>
      <c r="B617" s="325"/>
      <c r="C617" s="325"/>
      <c r="D617" s="325"/>
      <c r="E617" s="325"/>
      <c r="F617" s="325"/>
      <c r="G617" s="325"/>
      <c r="H617" s="325"/>
      <c r="I617" s="325"/>
      <c r="J617" s="325"/>
      <c r="K617" s="339"/>
      <c r="L617" s="340"/>
      <c r="M617" s="340"/>
      <c r="N617" s="340"/>
      <c r="O617" s="340"/>
      <c r="P617" s="340"/>
      <c r="Q617" s="340"/>
      <c r="R617" s="340"/>
      <c r="S617" s="348"/>
      <c r="T617" s="348"/>
      <c r="U617" s="348"/>
      <c r="V617" s="340"/>
      <c r="W617" s="340"/>
      <c r="X617" s="340"/>
      <c r="Y617" s="340"/>
    </row>
    <row r="618" spans="1:25" ht="15" thickBot="1" x14ac:dyDescent="0.3">
      <c r="A618" s="325"/>
      <c r="B618" s="325"/>
      <c r="C618" s="325"/>
      <c r="D618" s="325"/>
      <c r="E618" s="325"/>
      <c r="F618" s="325"/>
      <c r="G618" s="325"/>
      <c r="H618" s="325"/>
      <c r="I618" s="325"/>
      <c r="J618" s="325"/>
      <c r="K618" s="339"/>
      <c r="L618" s="340"/>
      <c r="M618" s="340"/>
      <c r="N618" s="340"/>
      <c r="O618" s="340"/>
      <c r="P618" s="340"/>
      <c r="Q618" s="340"/>
      <c r="R618" s="340"/>
      <c r="S618" s="348"/>
      <c r="T618" s="348"/>
      <c r="U618" s="348"/>
      <c r="V618" s="340"/>
      <c r="W618" s="340"/>
      <c r="X618" s="340"/>
      <c r="Y618" s="340"/>
    </row>
    <row r="619" spans="1:25" ht="15" thickBot="1" x14ac:dyDescent="0.3">
      <c r="A619" s="325"/>
      <c r="B619" s="325"/>
      <c r="C619" s="325"/>
      <c r="D619" s="325"/>
      <c r="E619" s="325"/>
      <c r="F619" s="325"/>
      <c r="G619" s="325"/>
      <c r="H619" s="325"/>
      <c r="I619" s="325"/>
      <c r="J619" s="325"/>
      <c r="K619" s="339"/>
      <c r="L619" s="340"/>
      <c r="M619" s="340"/>
      <c r="N619" s="340"/>
      <c r="O619" s="340"/>
      <c r="P619" s="340"/>
      <c r="Q619" s="340"/>
      <c r="R619" s="340"/>
      <c r="S619" s="348"/>
      <c r="T619" s="348"/>
      <c r="U619" s="348"/>
      <c r="V619" s="340"/>
      <c r="W619" s="340"/>
      <c r="X619" s="340"/>
      <c r="Y619" s="340"/>
    </row>
    <row r="620" spans="1:25" ht="15" thickBot="1" x14ac:dyDescent="0.3">
      <c r="A620" s="325"/>
      <c r="B620" s="325"/>
      <c r="C620" s="325"/>
      <c r="D620" s="325"/>
      <c r="E620" s="325"/>
      <c r="F620" s="325"/>
      <c r="G620" s="325"/>
      <c r="H620" s="325"/>
      <c r="I620" s="325"/>
      <c r="J620" s="325"/>
      <c r="K620" s="339"/>
      <c r="L620" s="340"/>
      <c r="M620" s="340"/>
      <c r="N620" s="340"/>
      <c r="O620" s="340"/>
      <c r="P620" s="340"/>
      <c r="Q620" s="340"/>
      <c r="R620" s="340"/>
      <c r="S620" s="348"/>
      <c r="T620" s="348"/>
      <c r="U620" s="348"/>
      <c r="V620" s="340"/>
      <c r="W620" s="340"/>
      <c r="X620" s="340"/>
      <c r="Y620" s="340"/>
    </row>
    <row r="621" spans="1:25" ht="15" thickBot="1" x14ac:dyDescent="0.3">
      <c r="A621" s="325"/>
      <c r="B621" s="325"/>
      <c r="C621" s="325"/>
      <c r="D621" s="325"/>
      <c r="E621" s="325"/>
      <c r="F621" s="325"/>
      <c r="G621" s="325"/>
      <c r="H621" s="325"/>
      <c r="I621" s="325"/>
      <c r="J621" s="325"/>
      <c r="K621" s="339"/>
      <c r="L621" s="340"/>
      <c r="M621" s="340"/>
      <c r="N621" s="340"/>
      <c r="O621" s="340"/>
      <c r="P621" s="340"/>
      <c r="Q621" s="340"/>
      <c r="R621" s="340"/>
      <c r="S621" s="348"/>
      <c r="T621" s="348"/>
      <c r="U621" s="348"/>
      <c r="V621" s="340"/>
      <c r="W621" s="340"/>
      <c r="X621" s="340"/>
      <c r="Y621" s="340"/>
    </row>
    <row r="622" spans="1:25" ht="15" thickBot="1" x14ac:dyDescent="0.3">
      <c r="A622" s="325"/>
      <c r="B622" s="325"/>
      <c r="C622" s="325"/>
      <c r="D622" s="325"/>
      <c r="E622" s="325"/>
      <c r="F622" s="325"/>
      <c r="G622" s="325"/>
      <c r="H622" s="325"/>
      <c r="I622" s="325"/>
      <c r="J622" s="325"/>
      <c r="K622" s="339"/>
      <c r="L622" s="340"/>
      <c r="M622" s="340"/>
      <c r="N622" s="340"/>
      <c r="O622" s="340"/>
      <c r="P622" s="340"/>
      <c r="Q622" s="340"/>
      <c r="R622" s="340"/>
      <c r="S622" s="348"/>
      <c r="T622" s="348"/>
      <c r="U622" s="348"/>
      <c r="V622" s="340"/>
      <c r="W622" s="340"/>
      <c r="X622" s="340"/>
      <c r="Y622" s="340"/>
    </row>
    <row r="623" spans="1:25" ht="15" thickBot="1" x14ac:dyDescent="0.3">
      <c r="A623" s="325"/>
      <c r="B623" s="325"/>
      <c r="C623" s="325"/>
      <c r="D623" s="325"/>
      <c r="E623" s="325"/>
      <c r="F623" s="325"/>
      <c r="G623" s="325"/>
      <c r="H623" s="325"/>
      <c r="I623" s="325"/>
      <c r="J623" s="325"/>
      <c r="K623" s="339"/>
      <c r="L623" s="340"/>
      <c r="M623" s="340"/>
      <c r="N623" s="340"/>
      <c r="O623" s="340"/>
      <c r="P623" s="340"/>
      <c r="Q623" s="340"/>
      <c r="R623" s="340"/>
      <c r="S623" s="348"/>
      <c r="T623" s="348"/>
      <c r="U623" s="348"/>
      <c r="V623" s="340"/>
      <c r="W623" s="340"/>
      <c r="X623" s="340"/>
      <c r="Y623" s="340"/>
    </row>
    <row r="624" spans="1:25" ht="15" thickBot="1" x14ac:dyDescent="0.3">
      <c r="A624" s="325"/>
      <c r="B624" s="325"/>
      <c r="C624" s="325"/>
      <c r="D624" s="325"/>
      <c r="E624" s="325"/>
      <c r="F624" s="325"/>
      <c r="G624" s="325"/>
      <c r="H624" s="325"/>
      <c r="I624" s="325"/>
      <c r="J624" s="325"/>
      <c r="K624" s="339"/>
      <c r="L624" s="340"/>
      <c r="M624" s="340"/>
      <c r="N624" s="340"/>
      <c r="O624" s="340"/>
      <c r="P624" s="340"/>
      <c r="Q624" s="340"/>
      <c r="R624" s="340"/>
      <c r="S624" s="348"/>
      <c r="T624" s="348"/>
      <c r="U624" s="348"/>
      <c r="V624" s="340"/>
      <c r="W624" s="340"/>
      <c r="X624" s="340"/>
      <c r="Y624" s="340"/>
    </row>
    <row r="625" spans="1:25" ht="15" thickBot="1" x14ac:dyDescent="0.3">
      <c r="A625" s="325"/>
      <c r="B625" s="325"/>
      <c r="C625" s="325"/>
      <c r="D625" s="325"/>
      <c r="E625" s="325"/>
      <c r="F625" s="325"/>
      <c r="G625" s="325"/>
      <c r="H625" s="325"/>
      <c r="I625" s="325"/>
      <c r="J625" s="325"/>
      <c r="K625" s="339"/>
      <c r="L625" s="340"/>
      <c r="M625" s="340"/>
      <c r="N625" s="340"/>
      <c r="O625" s="340"/>
      <c r="P625" s="340"/>
      <c r="Q625" s="340"/>
      <c r="R625" s="340"/>
      <c r="S625" s="348"/>
      <c r="T625" s="348"/>
      <c r="U625" s="348"/>
      <c r="V625" s="340"/>
      <c r="W625" s="340"/>
      <c r="X625" s="340"/>
      <c r="Y625" s="340"/>
    </row>
    <row r="626" spans="1:25" ht="15" thickBot="1" x14ac:dyDescent="0.3">
      <c r="A626" s="325"/>
      <c r="B626" s="325"/>
      <c r="C626" s="325"/>
      <c r="D626" s="325"/>
      <c r="E626" s="325"/>
      <c r="F626" s="325"/>
      <c r="G626" s="325"/>
      <c r="H626" s="325"/>
      <c r="I626" s="325"/>
      <c r="J626" s="325"/>
      <c r="K626" s="339"/>
      <c r="L626" s="340"/>
      <c r="M626" s="340"/>
      <c r="N626" s="340"/>
      <c r="O626" s="340"/>
      <c r="P626" s="340"/>
      <c r="Q626" s="340"/>
      <c r="R626" s="340"/>
      <c r="S626" s="348"/>
      <c r="T626" s="348"/>
      <c r="U626" s="348"/>
      <c r="V626" s="340"/>
      <c r="W626" s="340"/>
      <c r="X626" s="340"/>
      <c r="Y626" s="340"/>
    </row>
    <row r="627" spans="1:25" ht="15" thickBot="1" x14ac:dyDescent="0.3">
      <c r="A627" s="325"/>
      <c r="B627" s="325"/>
      <c r="C627" s="325"/>
      <c r="D627" s="325"/>
      <c r="E627" s="325"/>
      <c r="F627" s="325"/>
      <c r="G627" s="325"/>
      <c r="H627" s="325"/>
      <c r="I627" s="325"/>
      <c r="J627" s="325"/>
      <c r="K627" s="339"/>
      <c r="L627" s="340"/>
      <c r="M627" s="340"/>
      <c r="N627" s="340"/>
      <c r="O627" s="340"/>
      <c r="P627" s="340"/>
      <c r="Q627" s="340"/>
      <c r="R627" s="340"/>
      <c r="S627" s="348"/>
      <c r="T627" s="348"/>
      <c r="U627" s="348"/>
      <c r="V627" s="340"/>
      <c r="W627" s="340"/>
      <c r="X627" s="340"/>
      <c r="Y627" s="340"/>
    </row>
    <row r="628" spans="1:25" ht="15" thickBot="1" x14ac:dyDescent="0.3">
      <c r="A628" s="325"/>
      <c r="B628" s="325"/>
      <c r="C628" s="325"/>
      <c r="D628" s="325"/>
      <c r="E628" s="325"/>
      <c r="F628" s="325"/>
      <c r="G628" s="325"/>
      <c r="H628" s="325"/>
      <c r="I628" s="325"/>
      <c r="J628" s="325"/>
      <c r="K628" s="339"/>
      <c r="L628" s="340"/>
      <c r="M628" s="340"/>
      <c r="N628" s="340"/>
      <c r="O628" s="340"/>
      <c r="P628" s="340"/>
      <c r="Q628" s="340"/>
      <c r="R628" s="340"/>
      <c r="S628" s="348"/>
      <c r="T628" s="348"/>
      <c r="U628" s="348"/>
      <c r="V628" s="340"/>
      <c r="W628" s="340"/>
      <c r="X628" s="340"/>
      <c r="Y628" s="340"/>
    </row>
    <row r="629" spans="1:25" ht="15" thickBot="1" x14ac:dyDescent="0.3">
      <c r="A629" s="325"/>
      <c r="B629" s="325"/>
      <c r="C629" s="325"/>
      <c r="D629" s="325"/>
      <c r="E629" s="325"/>
      <c r="F629" s="325"/>
      <c r="G629" s="325"/>
      <c r="H629" s="325"/>
      <c r="I629" s="325"/>
      <c r="J629" s="325"/>
      <c r="K629" s="339"/>
      <c r="L629" s="340"/>
      <c r="M629" s="340"/>
      <c r="N629" s="340"/>
      <c r="O629" s="340"/>
      <c r="P629" s="340"/>
      <c r="Q629" s="340"/>
      <c r="R629" s="340"/>
      <c r="S629" s="348"/>
      <c r="T629" s="348"/>
      <c r="U629" s="348"/>
      <c r="V629" s="340"/>
      <c r="W629" s="340"/>
      <c r="X629" s="340"/>
      <c r="Y629" s="340"/>
    </row>
    <row r="630" spans="1:25" ht="15" thickBot="1" x14ac:dyDescent="0.3">
      <c r="A630" s="325"/>
      <c r="B630" s="325"/>
      <c r="C630" s="325"/>
      <c r="D630" s="325"/>
      <c r="E630" s="325"/>
      <c r="F630" s="325"/>
      <c r="G630" s="325"/>
      <c r="H630" s="325"/>
      <c r="I630" s="325"/>
      <c r="J630" s="325"/>
      <c r="K630" s="339"/>
      <c r="L630" s="340"/>
      <c r="M630" s="340"/>
      <c r="N630" s="340"/>
      <c r="O630" s="340"/>
      <c r="P630" s="340"/>
      <c r="Q630" s="340"/>
      <c r="R630" s="340"/>
      <c r="S630" s="348"/>
      <c r="T630" s="348"/>
      <c r="U630" s="348"/>
      <c r="V630" s="340"/>
      <c r="W630" s="340"/>
      <c r="X630" s="340"/>
      <c r="Y630" s="340"/>
    </row>
    <row r="631" spans="1:25" ht="15" thickBot="1" x14ac:dyDescent="0.3">
      <c r="A631" s="325"/>
      <c r="B631" s="325"/>
      <c r="C631" s="325"/>
      <c r="D631" s="325"/>
      <c r="E631" s="325"/>
      <c r="F631" s="325"/>
      <c r="G631" s="325"/>
      <c r="H631" s="325"/>
      <c r="I631" s="325"/>
      <c r="J631" s="325"/>
      <c r="K631" s="339"/>
      <c r="L631" s="340"/>
      <c r="M631" s="340"/>
      <c r="N631" s="340"/>
      <c r="O631" s="340"/>
      <c r="P631" s="340"/>
      <c r="Q631" s="340"/>
      <c r="R631" s="340"/>
      <c r="S631" s="348"/>
      <c r="T631" s="348"/>
      <c r="U631" s="348"/>
      <c r="V631" s="340"/>
      <c r="W631" s="340"/>
      <c r="X631" s="340"/>
      <c r="Y631" s="340"/>
    </row>
    <row r="632" spans="1:25" ht="15" thickBot="1" x14ac:dyDescent="0.3">
      <c r="A632" s="325"/>
      <c r="B632" s="325"/>
      <c r="C632" s="325"/>
      <c r="D632" s="325"/>
      <c r="E632" s="325"/>
      <c r="F632" s="325"/>
      <c r="G632" s="325"/>
      <c r="H632" s="325"/>
      <c r="I632" s="325"/>
      <c r="J632" s="325"/>
      <c r="K632" s="339"/>
      <c r="L632" s="340"/>
      <c r="M632" s="340"/>
      <c r="N632" s="340"/>
      <c r="O632" s="340"/>
      <c r="P632" s="340"/>
      <c r="Q632" s="340"/>
      <c r="R632" s="340"/>
      <c r="S632" s="348"/>
      <c r="T632" s="348"/>
      <c r="U632" s="348"/>
      <c r="V632" s="340"/>
      <c r="W632" s="340"/>
      <c r="X632" s="340"/>
      <c r="Y632" s="340"/>
    </row>
    <row r="633" spans="1:25" ht="15" thickBot="1" x14ac:dyDescent="0.3">
      <c r="A633" s="325"/>
      <c r="B633" s="325"/>
      <c r="C633" s="325"/>
      <c r="D633" s="325"/>
      <c r="E633" s="325"/>
      <c r="F633" s="325"/>
      <c r="G633" s="325"/>
      <c r="H633" s="325"/>
      <c r="I633" s="325"/>
      <c r="J633" s="325"/>
      <c r="K633" s="339"/>
      <c r="L633" s="340"/>
      <c r="M633" s="340"/>
      <c r="N633" s="340"/>
      <c r="O633" s="340"/>
      <c r="P633" s="340"/>
      <c r="Q633" s="340"/>
      <c r="R633" s="340"/>
      <c r="S633" s="348"/>
      <c r="T633" s="348"/>
      <c r="U633" s="348"/>
      <c r="V633" s="340"/>
      <c r="W633" s="340"/>
      <c r="X633" s="340"/>
      <c r="Y633" s="340"/>
    </row>
    <row r="634" spans="1:25" ht="15" thickBot="1" x14ac:dyDescent="0.3">
      <c r="A634" s="325"/>
      <c r="B634" s="325"/>
      <c r="C634" s="325"/>
      <c r="D634" s="325"/>
      <c r="E634" s="325"/>
      <c r="F634" s="325"/>
      <c r="G634" s="325"/>
      <c r="H634" s="325"/>
      <c r="I634" s="325"/>
      <c r="J634" s="325"/>
      <c r="K634" s="339"/>
      <c r="L634" s="340"/>
      <c r="M634" s="340"/>
      <c r="N634" s="340"/>
      <c r="O634" s="340"/>
      <c r="P634" s="340"/>
      <c r="Q634" s="340"/>
      <c r="R634" s="340"/>
      <c r="S634" s="348"/>
      <c r="T634" s="348"/>
      <c r="U634" s="348"/>
      <c r="V634" s="340"/>
      <c r="W634" s="340"/>
      <c r="X634" s="340"/>
      <c r="Y634" s="340"/>
    </row>
    <row r="635" spans="1:25" ht="15" thickBot="1" x14ac:dyDescent="0.3">
      <c r="A635" s="325"/>
      <c r="B635" s="325"/>
      <c r="C635" s="325"/>
      <c r="D635" s="325"/>
      <c r="E635" s="325"/>
      <c r="F635" s="325"/>
      <c r="G635" s="325"/>
      <c r="H635" s="325"/>
      <c r="I635" s="325"/>
      <c r="J635" s="325"/>
      <c r="K635" s="339"/>
      <c r="L635" s="340"/>
      <c r="M635" s="340"/>
      <c r="N635" s="340"/>
      <c r="O635" s="340"/>
      <c r="P635" s="340"/>
      <c r="Q635" s="340"/>
      <c r="R635" s="340"/>
      <c r="S635" s="348"/>
      <c r="T635" s="348"/>
      <c r="U635" s="348"/>
      <c r="V635" s="340"/>
      <c r="W635" s="340"/>
      <c r="X635" s="340"/>
      <c r="Y635" s="340"/>
    </row>
    <row r="636" spans="1:25" ht="15" thickBot="1" x14ac:dyDescent="0.3">
      <c r="A636" s="325"/>
      <c r="B636" s="325"/>
      <c r="C636" s="325"/>
      <c r="D636" s="325"/>
      <c r="E636" s="325"/>
      <c r="F636" s="325"/>
      <c r="G636" s="325"/>
      <c r="H636" s="325"/>
      <c r="I636" s="325"/>
      <c r="J636" s="325"/>
      <c r="K636" s="339"/>
      <c r="L636" s="340"/>
      <c r="M636" s="340"/>
      <c r="N636" s="340"/>
      <c r="O636" s="340"/>
      <c r="P636" s="340"/>
      <c r="Q636" s="340"/>
      <c r="R636" s="340"/>
      <c r="S636" s="348"/>
      <c r="T636" s="348"/>
      <c r="U636" s="348"/>
      <c r="V636" s="340"/>
      <c r="W636" s="340"/>
      <c r="X636" s="340"/>
      <c r="Y636" s="340"/>
    </row>
    <row r="637" spans="1:25" ht="15" thickBot="1" x14ac:dyDescent="0.3">
      <c r="A637" s="325"/>
      <c r="B637" s="325"/>
      <c r="C637" s="325"/>
      <c r="D637" s="325"/>
      <c r="E637" s="325"/>
      <c r="F637" s="325"/>
      <c r="G637" s="325"/>
      <c r="H637" s="325"/>
      <c r="I637" s="325"/>
      <c r="J637" s="325"/>
      <c r="K637" s="339"/>
      <c r="L637" s="340"/>
      <c r="M637" s="340"/>
      <c r="N637" s="340"/>
      <c r="O637" s="340"/>
      <c r="P637" s="340"/>
      <c r="Q637" s="340"/>
      <c r="R637" s="340"/>
      <c r="S637" s="348"/>
      <c r="T637" s="348"/>
      <c r="U637" s="348"/>
      <c r="V637" s="340"/>
      <c r="W637" s="340"/>
      <c r="X637" s="340"/>
      <c r="Y637" s="340"/>
    </row>
    <row r="638" spans="1:25" ht="15" thickBot="1" x14ac:dyDescent="0.3">
      <c r="A638" s="325"/>
      <c r="B638" s="325"/>
      <c r="C638" s="325"/>
      <c r="D638" s="325"/>
      <c r="E638" s="325"/>
      <c r="F638" s="325"/>
      <c r="G638" s="325"/>
      <c r="H638" s="325"/>
      <c r="I638" s="325"/>
      <c r="J638" s="325"/>
      <c r="K638" s="339"/>
      <c r="L638" s="340"/>
      <c r="M638" s="340"/>
      <c r="N638" s="340"/>
      <c r="O638" s="340"/>
      <c r="P638" s="340"/>
      <c r="Q638" s="340"/>
      <c r="R638" s="340"/>
      <c r="S638" s="348"/>
      <c r="T638" s="348"/>
      <c r="U638" s="348"/>
      <c r="V638" s="340"/>
      <c r="W638" s="340"/>
      <c r="X638" s="340"/>
      <c r="Y638" s="340"/>
    </row>
    <row r="639" spans="1:25" ht="15" thickBot="1" x14ac:dyDescent="0.3">
      <c r="A639" s="325"/>
      <c r="B639" s="325"/>
      <c r="C639" s="325"/>
      <c r="D639" s="325"/>
      <c r="E639" s="325"/>
      <c r="F639" s="325"/>
      <c r="G639" s="325"/>
      <c r="H639" s="325"/>
      <c r="I639" s="325"/>
      <c r="J639" s="325"/>
      <c r="K639" s="339"/>
      <c r="L639" s="340"/>
      <c r="M639" s="340"/>
      <c r="N639" s="340"/>
      <c r="O639" s="340"/>
      <c r="P639" s="340"/>
      <c r="Q639" s="340"/>
      <c r="R639" s="340"/>
      <c r="S639" s="348"/>
      <c r="T639" s="348"/>
      <c r="U639" s="348"/>
      <c r="V639" s="340"/>
      <c r="W639" s="340"/>
      <c r="X639" s="340"/>
      <c r="Y639" s="340"/>
    </row>
    <row r="640" spans="1:25" ht="15" thickBot="1" x14ac:dyDescent="0.3">
      <c r="A640" s="325"/>
      <c r="B640" s="325"/>
      <c r="C640" s="325"/>
      <c r="D640" s="325"/>
      <c r="E640" s="325"/>
      <c r="F640" s="325"/>
      <c r="G640" s="325"/>
      <c r="H640" s="325"/>
      <c r="I640" s="325"/>
      <c r="J640" s="325"/>
      <c r="K640" s="339"/>
      <c r="L640" s="340"/>
      <c r="M640" s="340"/>
      <c r="N640" s="340"/>
      <c r="O640" s="340"/>
      <c r="P640" s="340"/>
      <c r="Q640" s="340"/>
      <c r="R640" s="340"/>
      <c r="S640" s="348"/>
      <c r="T640" s="348"/>
      <c r="U640" s="348"/>
      <c r="V640" s="340"/>
      <c r="W640" s="340"/>
      <c r="X640" s="340"/>
      <c r="Y640" s="340"/>
    </row>
    <row r="641" spans="1:25" ht="15" thickBot="1" x14ac:dyDescent="0.3">
      <c r="A641" s="325"/>
      <c r="B641" s="325"/>
      <c r="C641" s="325"/>
      <c r="D641" s="325"/>
      <c r="E641" s="325"/>
      <c r="F641" s="325"/>
      <c r="G641" s="325"/>
      <c r="H641" s="325"/>
      <c r="I641" s="325"/>
      <c r="J641" s="325"/>
      <c r="K641" s="339"/>
      <c r="L641" s="340"/>
      <c r="M641" s="340"/>
      <c r="N641" s="340"/>
      <c r="O641" s="340"/>
      <c r="P641" s="340"/>
      <c r="Q641" s="340"/>
      <c r="R641" s="340"/>
      <c r="S641" s="348"/>
      <c r="T641" s="348"/>
      <c r="U641" s="348"/>
      <c r="V641" s="340"/>
      <c r="W641" s="340"/>
      <c r="X641" s="340"/>
      <c r="Y641" s="340"/>
    </row>
    <row r="642" spans="1:25" ht="15" thickBot="1" x14ac:dyDescent="0.3">
      <c r="A642" s="325"/>
      <c r="B642" s="325"/>
      <c r="C642" s="325"/>
      <c r="D642" s="325"/>
      <c r="E642" s="325"/>
      <c r="F642" s="325"/>
      <c r="G642" s="325"/>
      <c r="H642" s="325"/>
      <c r="I642" s="325"/>
      <c r="J642" s="325"/>
      <c r="K642" s="339"/>
      <c r="L642" s="340"/>
      <c r="M642" s="340"/>
      <c r="N642" s="340"/>
      <c r="O642" s="340"/>
      <c r="P642" s="340"/>
      <c r="Q642" s="340"/>
      <c r="R642" s="340"/>
      <c r="S642" s="348"/>
      <c r="T642" s="348"/>
      <c r="U642" s="348"/>
      <c r="V642" s="340"/>
      <c r="W642" s="340"/>
      <c r="X642" s="340"/>
      <c r="Y642" s="340"/>
    </row>
    <row r="643" spans="1:25" ht="15" thickBot="1" x14ac:dyDescent="0.3">
      <c r="A643" s="325"/>
      <c r="B643" s="325"/>
      <c r="C643" s="325"/>
      <c r="D643" s="325"/>
      <c r="E643" s="325"/>
      <c r="F643" s="325"/>
      <c r="G643" s="325"/>
      <c r="H643" s="325"/>
      <c r="I643" s="325"/>
      <c r="J643" s="325"/>
      <c r="K643" s="339"/>
      <c r="L643" s="340"/>
      <c r="M643" s="340"/>
      <c r="N643" s="340"/>
      <c r="O643" s="340"/>
      <c r="P643" s="340"/>
      <c r="Q643" s="340"/>
      <c r="R643" s="340"/>
      <c r="S643" s="348"/>
      <c r="T643" s="348"/>
      <c r="U643" s="348"/>
      <c r="V643" s="340"/>
      <c r="W643" s="340"/>
      <c r="X643" s="340"/>
      <c r="Y643" s="340"/>
    </row>
    <row r="644" spans="1:25" ht="15" thickBot="1" x14ac:dyDescent="0.3">
      <c r="A644" s="325"/>
      <c r="B644" s="325"/>
      <c r="C644" s="325"/>
      <c r="D644" s="325"/>
      <c r="E644" s="325"/>
      <c r="F644" s="325"/>
      <c r="G644" s="325"/>
      <c r="H644" s="325"/>
      <c r="I644" s="325"/>
      <c r="J644" s="325"/>
      <c r="K644" s="339"/>
      <c r="L644" s="340"/>
      <c r="M644" s="340"/>
      <c r="N644" s="340"/>
      <c r="O644" s="340"/>
      <c r="P644" s="340"/>
      <c r="Q644" s="340"/>
      <c r="R644" s="340"/>
      <c r="S644" s="348"/>
      <c r="T644" s="348"/>
      <c r="U644" s="348"/>
      <c r="V644" s="340"/>
      <c r="W644" s="340"/>
      <c r="X644" s="340"/>
      <c r="Y644" s="340"/>
    </row>
    <row r="645" spans="1:25" ht="15" thickBot="1" x14ac:dyDescent="0.3">
      <c r="A645" s="325"/>
      <c r="B645" s="325"/>
      <c r="C645" s="325"/>
      <c r="D645" s="325"/>
      <c r="E645" s="325"/>
      <c r="F645" s="325"/>
      <c r="G645" s="325"/>
      <c r="H645" s="325"/>
      <c r="I645" s="325"/>
      <c r="J645" s="325"/>
      <c r="K645" s="339"/>
      <c r="L645" s="340"/>
      <c r="M645" s="340"/>
      <c r="N645" s="340"/>
      <c r="O645" s="340"/>
      <c r="P645" s="340"/>
      <c r="Q645" s="340"/>
      <c r="R645" s="340"/>
      <c r="S645" s="348"/>
      <c r="T645" s="348"/>
      <c r="U645" s="348"/>
      <c r="V645" s="340"/>
      <c r="W645" s="340"/>
      <c r="X645" s="340"/>
      <c r="Y645" s="340"/>
    </row>
    <row r="646" spans="1:25" ht="15" thickBot="1" x14ac:dyDescent="0.3">
      <c r="A646" s="325"/>
      <c r="B646" s="325"/>
      <c r="C646" s="325"/>
      <c r="D646" s="325"/>
      <c r="E646" s="325"/>
      <c r="F646" s="325"/>
      <c r="G646" s="325"/>
      <c r="H646" s="325"/>
      <c r="I646" s="325"/>
      <c r="J646" s="325"/>
      <c r="K646" s="339"/>
      <c r="L646" s="340"/>
      <c r="M646" s="340"/>
      <c r="N646" s="340"/>
      <c r="O646" s="340"/>
      <c r="P646" s="340"/>
      <c r="Q646" s="340"/>
      <c r="R646" s="340"/>
      <c r="S646" s="348"/>
      <c r="T646" s="348"/>
      <c r="U646" s="348"/>
      <c r="V646" s="340"/>
      <c r="W646" s="340"/>
      <c r="X646" s="340"/>
      <c r="Y646" s="340"/>
    </row>
    <row r="647" spans="1:25" ht="15" thickBot="1" x14ac:dyDescent="0.3">
      <c r="A647" s="325"/>
      <c r="B647" s="325"/>
      <c r="C647" s="325"/>
      <c r="D647" s="325"/>
      <c r="E647" s="325"/>
      <c r="F647" s="325"/>
      <c r="G647" s="325"/>
      <c r="H647" s="325"/>
      <c r="I647" s="325"/>
      <c r="J647" s="325"/>
      <c r="K647" s="339"/>
      <c r="L647" s="340"/>
      <c r="M647" s="340"/>
      <c r="N647" s="340"/>
      <c r="O647" s="340"/>
      <c r="P647" s="340"/>
      <c r="Q647" s="340"/>
      <c r="R647" s="340"/>
      <c r="S647" s="348"/>
      <c r="T647" s="348"/>
      <c r="U647" s="348"/>
      <c r="V647" s="340"/>
      <c r="W647" s="340"/>
      <c r="X647" s="340"/>
      <c r="Y647" s="340"/>
    </row>
    <row r="648" spans="1:25" ht="15" thickBot="1" x14ac:dyDescent="0.3">
      <c r="A648" s="325"/>
      <c r="B648" s="325"/>
      <c r="C648" s="325"/>
      <c r="D648" s="325"/>
      <c r="E648" s="325"/>
      <c r="F648" s="325"/>
      <c r="G648" s="325"/>
      <c r="H648" s="325"/>
      <c r="I648" s="325"/>
      <c r="J648" s="325"/>
      <c r="K648" s="339"/>
      <c r="L648" s="340"/>
      <c r="M648" s="340"/>
      <c r="N648" s="340"/>
      <c r="O648" s="340"/>
      <c r="P648" s="340"/>
      <c r="Q648" s="340"/>
      <c r="R648" s="340"/>
      <c r="S648" s="348"/>
      <c r="T648" s="348"/>
      <c r="U648" s="348"/>
      <c r="V648" s="340"/>
      <c r="W648" s="340"/>
      <c r="X648" s="340"/>
      <c r="Y648" s="340"/>
    </row>
    <row r="649" spans="1:25" ht="15" thickBot="1" x14ac:dyDescent="0.3">
      <c r="A649" s="325"/>
      <c r="B649" s="325"/>
      <c r="C649" s="325"/>
      <c r="D649" s="325"/>
      <c r="E649" s="325"/>
      <c r="F649" s="325"/>
      <c r="G649" s="325"/>
      <c r="H649" s="325"/>
      <c r="I649" s="325"/>
      <c r="J649" s="325"/>
      <c r="K649" s="339"/>
      <c r="L649" s="340"/>
      <c r="M649" s="340"/>
      <c r="N649" s="340"/>
      <c r="O649" s="340"/>
      <c r="P649" s="340"/>
      <c r="Q649" s="340"/>
      <c r="R649" s="340"/>
      <c r="S649" s="348"/>
      <c r="T649" s="348"/>
      <c r="U649" s="348"/>
      <c r="V649" s="340"/>
      <c r="W649" s="340"/>
      <c r="X649" s="340"/>
      <c r="Y649" s="340"/>
    </row>
    <row r="650" spans="1:25" ht="15" thickBot="1" x14ac:dyDescent="0.3">
      <c r="A650" s="325"/>
      <c r="B650" s="325"/>
      <c r="C650" s="325"/>
      <c r="D650" s="325"/>
      <c r="E650" s="325"/>
      <c r="F650" s="325"/>
      <c r="G650" s="325"/>
      <c r="H650" s="325"/>
      <c r="I650" s="325"/>
      <c r="J650" s="325"/>
      <c r="K650" s="339"/>
      <c r="L650" s="340"/>
      <c r="M650" s="340"/>
      <c r="N650" s="340"/>
      <c r="O650" s="340"/>
      <c r="P650" s="340"/>
      <c r="Q650" s="340"/>
      <c r="R650" s="340"/>
      <c r="S650" s="348"/>
      <c r="T650" s="348"/>
      <c r="U650" s="348"/>
      <c r="V650" s="340"/>
      <c r="W650" s="340"/>
      <c r="X650" s="340"/>
      <c r="Y650" s="340"/>
    </row>
    <row r="651" spans="1:25" ht="15" thickBot="1" x14ac:dyDescent="0.3">
      <c r="A651" s="325"/>
      <c r="B651" s="325"/>
      <c r="C651" s="325"/>
      <c r="D651" s="325"/>
      <c r="E651" s="325"/>
      <c r="F651" s="325"/>
      <c r="G651" s="325"/>
      <c r="H651" s="325"/>
      <c r="I651" s="325"/>
      <c r="J651" s="325"/>
      <c r="K651" s="339"/>
      <c r="L651" s="340"/>
      <c r="M651" s="340"/>
      <c r="N651" s="340"/>
      <c r="O651" s="340"/>
      <c r="P651" s="340"/>
      <c r="Q651" s="340"/>
      <c r="R651" s="340"/>
      <c r="S651" s="348"/>
      <c r="T651" s="348"/>
      <c r="U651" s="348"/>
      <c r="V651" s="340"/>
      <c r="W651" s="340"/>
      <c r="X651" s="340"/>
      <c r="Y651" s="340"/>
    </row>
    <row r="652" spans="1:25" ht="15" thickBot="1" x14ac:dyDescent="0.3">
      <c r="A652" s="325"/>
      <c r="B652" s="325"/>
      <c r="C652" s="325"/>
      <c r="D652" s="325"/>
      <c r="E652" s="325"/>
      <c r="F652" s="325"/>
      <c r="G652" s="325"/>
      <c r="H652" s="325"/>
      <c r="I652" s="325"/>
      <c r="J652" s="325"/>
      <c r="K652" s="339"/>
      <c r="L652" s="340"/>
      <c r="M652" s="340"/>
      <c r="N652" s="340"/>
      <c r="O652" s="340"/>
      <c r="P652" s="340"/>
      <c r="Q652" s="340"/>
      <c r="R652" s="340"/>
      <c r="S652" s="348"/>
      <c r="T652" s="348"/>
      <c r="U652" s="348"/>
      <c r="V652" s="340"/>
      <c r="W652" s="340"/>
      <c r="X652" s="340"/>
      <c r="Y652" s="340"/>
    </row>
    <row r="653" spans="1:25" ht="15" thickBot="1" x14ac:dyDescent="0.3">
      <c r="A653" s="325"/>
      <c r="B653" s="325"/>
      <c r="C653" s="325"/>
      <c r="D653" s="325"/>
      <c r="E653" s="325"/>
      <c r="F653" s="325"/>
      <c r="G653" s="325"/>
      <c r="H653" s="325"/>
      <c r="I653" s="325"/>
      <c r="J653" s="325"/>
      <c r="K653" s="339"/>
      <c r="L653" s="340"/>
      <c r="M653" s="340"/>
      <c r="N653" s="340"/>
      <c r="O653" s="340"/>
      <c r="P653" s="340"/>
      <c r="Q653" s="340"/>
      <c r="R653" s="340"/>
      <c r="S653" s="348"/>
      <c r="T653" s="348"/>
      <c r="U653" s="348"/>
      <c r="V653" s="340"/>
      <c r="W653" s="340"/>
      <c r="X653" s="340"/>
      <c r="Y653" s="340"/>
    </row>
    <row r="654" spans="1:25" ht="15" thickBot="1" x14ac:dyDescent="0.3">
      <c r="A654" s="325"/>
      <c r="B654" s="325"/>
      <c r="C654" s="325"/>
      <c r="D654" s="325"/>
      <c r="E654" s="325"/>
      <c r="F654" s="325"/>
      <c r="G654" s="325"/>
      <c r="H654" s="325"/>
      <c r="I654" s="325"/>
      <c r="J654" s="325"/>
      <c r="K654" s="339"/>
      <c r="L654" s="340"/>
      <c r="M654" s="340"/>
      <c r="N654" s="340"/>
      <c r="O654" s="340"/>
      <c r="P654" s="340"/>
      <c r="Q654" s="340"/>
      <c r="R654" s="340"/>
      <c r="S654" s="348"/>
      <c r="T654" s="348"/>
      <c r="U654" s="348"/>
      <c r="V654" s="340"/>
      <c r="W654" s="340"/>
      <c r="X654" s="340"/>
      <c r="Y654" s="340"/>
    </row>
    <row r="655" spans="1:25" ht="15" thickBot="1" x14ac:dyDescent="0.3">
      <c r="A655" s="325"/>
      <c r="B655" s="325"/>
      <c r="C655" s="325"/>
      <c r="D655" s="325"/>
      <c r="E655" s="325"/>
      <c r="F655" s="325"/>
      <c r="G655" s="325"/>
      <c r="H655" s="325"/>
      <c r="I655" s="325"/>
      <c r="J655" s="325"/>
      <c r="K655" s="339"/>
      <c r="L655" s="340"/>
      <c r="M655" s="340"/>
      <c r="N655" s="340"/>
      <c r="O655" s="340"/>
      <c r="P655" s="340"/>
      <c r="Q655" s="340"/>
      <c r="R655" s="340"/>
      <c r="S655" s="348"/>
      <c r="T655" s="348"/>
      <c r="U655" s="348"/>
      <c r="V655" s="340"/>
      <c r="W655" s="340"/>
      <c r="X655" s="340"/>
      <c r="Y655" s="340"/>
    </row>
    <row r="656" spans="1:25" ht="15" thickBot="1" x14ac:dyDescent="0.3">
      <c r="A656" s="325"/>
      <c r="B656" s="325"/>
      <c r="C656" s="325"/>
      <c r="D656" s="325"/>
      <c r="E656" s="325"/>
      <c r="F656" s="325"/>
      <c r="G656" s="325"/>
      <c r="H656" s="325"/>
      <c r="I656" s="325"/>
      <c r="J656" s="325"/>
      <c r="K656" s="339"/>
      <c r="L656" s="340"/>
      <c r="M656" s="340"/>
      <c r="N656" s="340"/>
      <c r="O656" s="340"/>
      <c r="P656" s="340"/>
      <c r="Q656" s="340"/>
      <c r="R656" s="340"/>
      <c r="S656" s="348"/>
      <c r="T656" s="348"/>
      <c r="U656" s="348"/>
      <c r="V656" s="340"/>
      <c r="W656" s="340"/>
      <c r="X656" s="340"/>
      <c r="Y656" s="340"/>
    </row>
    <row r="657" spans="1:25" ht="15" thickBot="1" x14ac:dyDescent="0.3">
      <c r="A657" s="325"/>
      <c r="B657" s="325"/>
      <c r="C657" s="325"/>
      <c r="D657" s="325"/>
      <c r="E657" s="325"/>
      <c r="F657" s="325"/>
      <c r="G657" s="325"/>
      <c r="H657" s="325"/>
      <c r="I657" s="325"/>
      <c r="J657" s="325"/>
      <c r="K657" s="339"/>
      <c r="L657" s="340"/>
      <c r="M657" s="340"/>
      <c r="N657" s="340"/>
      <c r="O657" s="340"/>
      <c r="P657" s="340"/>
      <c r="Q657" s="340"/>
      <c r="R657" s="340"/>
      <c r="S657" s="348"/>
      <c r="T657" s="348"/>
      <c r="U657" s="348"/>
      <c r="V657" s="340"/>
      <c r="W657" s="340"/>
      <c r="X657" s="340"/>
      <c r="Y657" s="340"/>
    </row>
    <row r="658" spans="1:25" ht="15" thickBot="1" x14ac:dyDescent="0.3">
      <c r="A658" s="325"/>
      <c r="B658" s="325"/>
      <c r="C658" s="325"/>
      <c r="D658" s="325"/>
      <c r="E658" s="325"/>
      <c r="F658" s="325"/>
      <c r="G658" s="325"/>
      <c r="H658" s="325"/>
      <c r="I658" s="325"/>
      <c r="J658" s="325"/>
      <c r="K658" s="339"/>
      <c r="L658" s="340"/>
      <c r="M658" s="340"/>
      <c r="N658" s="340"/>
      <c r="O658" s="340"/>
      <c r="P658" s="340"/>
      <c r="Q658" s="340"/>
      <c r="R658" s="340"/>
      <c r="S658" s="348"/>
      <c r="T658" s="348"/>
      <c r="U658" s="348"/>
      <c r="V658" s="340"/>
      <c r="W658" s="340"/>
      <c r="X658" s="340"/>
      <c r="Y658" s="340"/>
    </row>
    <row r="659" spans="1:25" ht="15" thickBot="1" x14ac:dyDescent="0.3">
      <c r="A659" s="325"/>
      <c r="B659" s="325"/>
      <c r="C659" s="325"/>
      <c r="D659" s="325"/>
      <c r="E659" s="325"/>
      <c r="F659" s="325"/>
      <c r="G659" s="325"/>
      <c r="H659" s="325"/>
      <c r="I659" s="325"/>
      <c r="J659" s="325"/>
      <c r="K659" s="339"/>
      <c r="L659" s="340"/>
      <c r="M659" s="340"/>
      <c r="N659" s="340"/>
      <c r="O659" s="340"/>
      <c r="P659" s="340"/>
      <c r="Q659" s="340"/>
      <c r="R659" s="340"/>
      <c r="S659" s="348"/>
      <c r="T659" s="348"/>
      <c r="U659" s="348"/>
      <c r="V659" s="340"/>
      <c r="W659" s="340"/>
      <c r="X659" s="340"/>
      <c r="Y659" s="340"/>
    </row>
    <row r="660" spans="1:25" ht="15" thickBot="1" x14ac:dyDescent="0.3">
      <c r="A660" s="325"/>
      <c r="B660" s="325"/>
      <c r="C660" s="325"/>
      <c r="D660" s="325"/>
      <c r="E660" s="325"/>
      <c r="F660" s="325"/>
      <c r="G660" s="325"/>
      <c r="H660" s="325"/>
      <c r="I660" s="325"/>
      <c r="J660" s="325"/>
      <c r="K660" s="339"/>
      <c r="L660" s="340"/>
      <c r="M660" s="340"/>
      <c r="N660" s="340"/>
      <c r="O660" s="340"/>
      <c r="P660" s="340"/>
      <c r="Q660" s="340"/>
      <c r="R660" s="340"/>
      <c r="S660" s="348"/>
      <c r="T660" s="348"/>
      <c r="U660" s="348"/>
      <c r="V660" s="340"/>
      <c r="W660" s="340"/>
      <c r="X660" s="340"/>
      <c r="Y660" s="340"/>
    </row>
    <row r="661" spans="1:25" ht="15" thickBot="1" x14ac:dyDescent="0.3">
      <c r="A661" s="325"/>
      <c r="B661" s="325"/>
      <c r="C661" s="325"/>
      <c r="D661" s="325"/>
      <c r="E661" s="325"/>
      <c r="F661" s="325"/>
      <c r="G661" s="325"/>
      <c r="H661" s="325"/>
      <c r="I661" s="325"/>
      <c r="J661" s="325"/>
      <c r="K661" s="339"/>
      <c r="L661" s="340"/>
      <c r="M661" s="340"/>
      <c r="N661" s="340"/>
      <c r="O661" s="340"/>
      <c r="P661" s="340"/>
      <c r="Q661" s="340"/>
      <c r="R661" s="340"/>
      <c r="S661" s="348"/>
      <c r="T661" s="348"/>
      <c r="U661" s="348"/>
      <c r="V661" s="340"/>
      <c r="W661" s="340"/>
      <c r="X661" s="340"/>
      <c r="Y661" s="340"/>
    </row>
    <row r="662" spans="1:25" ht="15" thickBot="1" x14ac:dyDescent="0.3">
      <c r="A662" s="325"/>
      <c r="B662" s="325"/>
      <c r="C662" s="325"/>
      <c r="D662" s="325"/>
      <c r="E662" s="325"/>
      <c r="F662" s="325"/>
      <c r="G662" s="325"/>
      <c r="H662" s="325"/>
      <c r="I662" s="325"/>
      <c r="J662" s="325"/>
      <c r="K662" s="339"/>
      <c r="L662" s="340"/>
      <c r="M662" s="340"/>
      <c r="N662" s="340"/>
      <c r="O662" s="340"/>
      <c r="P662" s="340"/>
      <c r="Q662" s="340"/>
      <c r="R662" s="340"/>
      <c r="S662" s="348"/>
      <c r="T662" s="348"/>
      <c r="U662" s="348"/>
      <c r="V662" s="340"/>
      <c r="W662" s="340"/>
      <c r="X662" s="340"/>
      <c r="Y662" s="340"/>
    </row>
    <row r="663" spans="1:25" ht="15" thickBot="1" x14ac:dyDescent="0.3">
      <c r="A663" s="325"/>
      <c r="B663" s="325"/>
      <c r="C663" s="325"/>
      <c r="D663" s="325"/>
      <c r="E663" s="325"/>
      <c r="F663" s="325"/>
      <c r="G663" s="325"/>
      <c r="H663" s="325"/>
      <c r="I663" s="325"/>
      <c r="J663" s="325"/>
      <c r="K663" s="339"/>
      <c r="L663" s="340"/>
      <c r="M663" s="340"/>
      <c r="N663" s="340"/>
      <c r="O663" s="340"/>
      <c r="P663" s="340"/>
      <c r="Q663" s="340"/>
      <c r="R663" s="340"/>
      <c r="S663" s="348"/>
      <c r="T663" s="348"/>
      <c r="U663" s="348"/>
      <c r="V663" s="340"/>
      <c r="W663" s="340"/>
      <c r="X663" s="340"/>
      <c r="Y663" s="340"/>
    </row>
    <row r="664" spans="1:25" ht="15" thickBot="1" x14ac:dyDescent="0.3">
      <c r="A664" s="325"/>
      <c r="B664" s="325"/>
      <c r="C664" s="325"/>
      <c r="D664" s="325"/>
      <c r="E664" s="325"/>
      <c r="F664" s="325"/>
      <c r="G664" s="325"/>
      <c r="H664" s="325"/>
      <c r="I664" s="325"/>
      <c r="J664" s="325"/>
      <c r="K664" s="339"/>
      <c r="L664" s="340"/>
      <c r="M664" s="340"/>
      <c r="N664" s="340"/>
      <c r="O664" s="340"/>
      <c r="P664" s="340"/>
      <c r="Q664" s="340"/>
      <c r="R664" s="340"/>
      <c r="S664" s="348"/>
      <c r="T664" s="348"/>
      <c r="U664" s="348"/>
      <c r="V664" s="340"/>
      <c r="W664" s="340"/>
      <c r="X664" s="340"/>
      <c r="Y664" s="340"/>
    </row>
    <row r="665" spans="1:25" ht="15" thickBot="1" x14ac:dyDescent="0.3">
      <c r="A665" s="325"/>
      <c r="B665" s="325"/>
      <c r="C665" s="325"/>
      <c r="D665" s="325"/>
      <c r="E665" s="325"/>
      <c r="F665" s="325"/>
      <c r="G665" s="325"/>
      <c r="H665" s="325"/>
      <c r="I665" s="325"/>
      <c r="J665" s="325"/>
      <c r="K665" s="339"/>
      <c r="L665" s="340"/>
      <c r="M665" s="340"/>
      <c r="N665" s="340"/>
      <c r="O665" s="340"/>
      <c r="P665" s="340"/>
      <c r="Q665" s="340"/>
      <c r="R665" s="340"/>
      <c r="S665" s="348"/>
      <c r="T665" s="348"/>
      <c r="U665" s="348"/>
      <c r="V665" s="340"/>
      <c r="W665" s="340"/>
      <c r="X665" s="340"/>
      <c r="Y665" s="340"/>
    </row>
    <row r="666" spans="1:25" ht="15" thickBot="1" x14ac:dyDescent="0.3">
      <c r="A666" s="325"/>
      <c r="B666" s="325"/>
      <c r="C666" s="325"/>
      <c r="D666" s="325"/>
      <c r="E666" s="325"/>
      <c r="F666" s="325"/>
      <c r="G666" s="325"/>
      <c r="H666" s="325"/>
      <c r="I666" s="325"/>
      <c r="J666" s="325"/>
      <c r="K666" s="339"/>
      <c r="L666" s="340"/>
      <c r="M666" s="340"/>
      <c r="N666" s="340"/>
      <c r="O666" s="340"/>
      <c r="P666" s="340"/>
      <c r="Q666" s="340"/>
      <c r="R666" s="340"/>
      <c r="S666" s="348"/>
      <c r="T666" s="348"/>
      <c r="U666" s="348"/>
      <c r="V666" s="340"/>
      <c r="W666" s="340"/>
      <c r="X666" s="340"/>
      <c r="Y666" s="340"/>
    </row>
    <row r="667" spans="1:25" ht="15" thickBot="1" x14ac:dyDescent="0.3">
      <c r="A667" s="325"/>
      <c r="B667" s="325"/>
      <c r="C667" s="325"/>
      <c r="D667" s="325"/>
      <c r="E667" s="325"/>
      <c r="F667" s="325"/>
      <c r="G667" s="325"/>
      <c r="H667" s="325"/>
      <c r="I667" s="325"/>
      <c r="J667" s="325"/>
      <c r="K667" s="339"/>
      <c r="L667" s="340"/>
      <c r="M667" s="340"/>
      <c r="N667" s="340"/>
      <c r="O667" s="340"/>
      <c r="P667" s="340"/>
      <c r="Q667" s="340"/>
      <c r="R667" s="340"/>
      <c r="S667" s="348"/>
      <c r="T667" s="348"/>
      <c r="U667" s="348"/>
      <c r="V667" s="340"/>
      <c r="W667" s="340"/>
      <c r="X667" s="340"/>
      <c r="Y667" s="340"/>
    </row>
    <row r="668" spans="1:25" ht="15" thickBot="1" x14ac:dyDescent="0.3">
      <c r="A668" s="325"/>
      <c r="B668" s="325"/>
      <c r="C668" s="325"/>
      <c r="D668" s="325"/>
      <c r="E668" s="325"/>
      <c r="F668" s="325"/>
      <c r="G668" s="325"/>
      <c r="H668" s="325"/>
      <c r="I668" s="325"/>
      <c r="J668" s="325"/>
      <c r="K668" s="339"/>
      <c r="L668" s="340"/>
      <c r="M668" s="340"/>
      <c r="N668" s="340"/>
      <c r="O668" s="340"/>
      <c r="P668" s="340"/>
      <c r="Q668" s="340"/>
      <c r="R668" s="340"/>
      <c r="S668" s="348"/>
      <c r="T668" s="348"/>
      <c r="U668" s="348"/>
      <c r="V668" s="340"/>
      <c r="W668" s="340"/>
      <c r="X668" s="340"/>
      <c r="Y668" s="340"/>
    </row>
    <row r="669" spans="1:25" ht="15" thickBot="1" x14ac:dyDescent="0.3">
      <c r="A669" s="325"/>
      <c r="B669" s="325"/>
      <c r="C669" s="325"/>
      <c r="D669" s="325"/>
      <c r="E669" s="325"/>
      <c r="F669" s="325"/>
      <c r="G669" s="325"/>
      <c r="H669" s="325"/>
      <c r="I669" s="325"/>
      <c r="J669" s="325"/>
      <c r="K669" s="339"/>
      <c r="L669" s="340"/>
      <c r="M669" s="340"/>
      <c r="N669" s="340"/>
      <c r="O669" s="340"/>
      <c r="P669" s="340"/>
      <c r="Q669" s="340"/>
      <c r="R669" s="340"/>
      <c r="S669" s="348"/>
      <c r="T669" s="348"/>
      <c r="U669" s="348"/>
      <c r="V669" s="340"/>
      <c r="W669" s="340"/>
      <c r="X669" s="340"/>
      <c r="Y669" s="340"/>
    </row>
    <row r="670" spans="1:25" ht="15" thickBot="1" x14ac:dyDescent="0.3">
      <c r="A670" s="325"/>
      <c r="B670" s="325"/>
      <c r="C670" s="325"/>
      <c r="D670" s="325"/>
      <c r="E670" s="325"/>
      <c r="F670" s="325"/>
      <c r="G670" s="325"/>
      <c r="H670" s="325"/>
      <c r="I670" s="325"/>
      <c r="J670" s="325"/>
      <c r="K670" s="339"/>
      <c r="L670" s="340"/>
      <c r="M670" s="340"/>
      <c r="N670" s="340"/>
      <c r="O670" s="340"/>
      <c r="P670" s="340"/>
      <c r="Q670" s="340"/>
      <c r="R670" s="340"/>
      <c r="S670" s="348"/>
      <c r="T670" s="348"/>
      <c r="U670" s="348"/>
      <c r="V670" s="340"/>
      <c r="W670" s="340"/>
      <c r="X670" s="340"/>
      <c r="Y670" s="340"/>
    </row>
    <row r="671" spans="1:25" ht="15" thickBot="1" x14ac:dyDescent="0.3">
      <c r="A671" s="325"/>
      <c r="B671" s="325"/>
      <c r="C671" s="325"/>
      <c r="D671" s="325"/>
      <c r="E671" s="325"/>
      <c r="F671" s="325"/>
      <c r="G671" s="325"/>
      <c r="H671" s="325"/>
      <c r="I671" s="325"/>
      <c r="J671" s="325"/>
      <c r="K671" s="339"/>
      <c r="L671" s="340"/>
      <c r="M671" s="340"/>
      <c r="N671" s="340"/>
      <c r="O671" s="340"/>
      <c r="P671" s="340"/>
      <c r="Q671" s="340"/>
      <c r="R671" s="340"/>
      <c r="S671" s="348"/>
      <c r="T671" s="348"/>
      <c r="U671" s="348"/>
      <c r="V671" s="340"/>
      <c r="W671" s="340"/>
      <c r="X671" s="340"/>
      <c r="Y671" s="340"/>
    </row>
    <row r="672" spans="1:25" ht="15" thickBot="1" x14ac:dyDescent="0.3">
      <c r="A672" s="325"/>
      <c r="B672" s="325"/>
      <c r="C672" s="325"/>
      <c r="D672" s="325"/>
      <c r="E672" s="325"/>
      <c r="F672" s="325"/>
      <c r="G672" s="325"/>
      <c r="H672" s="325"/>
      <c r="I672" s="325"/>
      <c r="J672" s="325"/>
      <c r="K672" s="339"/>
      <c r="L672" s="340"/>
      <c r="M672" s="340"/>
      <c r="N672" s="340"/>
      <c r="O672" s="340"/>
      <c r="P672" s="340"/>
      <c r="Q672" s="340"/>
      <c r="R672" s="340"/>
      <c r="S672" s="348"/>
      <c r="T672" s="348"/>
      <c r="U672" s="348"/>
      <c r="V672" s="340"/>
      <c r="W672" s="340"/>
      <c r="X672" s="340"/>
      <c r="Y672" s="340"/>
    </row>
    <row r="673" spans="1:25" ht="15" thickBot="1" x14ac:dyDescent="0.3">
      <c r="A673" s="325"/>
      <c r="B673" s="325"/>
      <c r="C673" s="325"/>
      <c r="D673" s="325"/>
      <c r="E673" s="325"/>
      <c r="F673" s="325"/>
      <c r="G673" s="325"/>
      <c r="H673" s="325"/>
      <c r="I673" s="325"/>
      <c r="J673" s="325"/>
      <c r="K673" s="339"/>
      <c r="L673" s="340"/>
      <c r="M673" s="340"/>
      <c r="N673" s="340"/>
      <c r="O673" s="340"/>
      <c r="P673" s="340"/>
      <c r="Q673" s="340"/>
      <c r="R673" s="340"/>
      <c r="S673" s="348"/>
      <c r="T673" s="348"/>
      <c r="U673" s="348"/>
      <c r="V673" s="340"/>
      <c r="W673" s="340"/>
      <c r="X673" s="340"/>
      <c r="Y673" s="340"/>
    </row>
    <row r="674" spans="1:25" ht="15" thickBot="1" x14ac:dyDescent="0.3">
      <c r="A674" s="325"/>
      <c r="B674" s="325"/>
      <c r="C674" s="325"/>
      <c r="D674" s="325"/>
      <c r="E674" s="325"/>
      <c r="F674" s="325"/>
      <c r="G674" s="325"/>
      <c r="H674" s="325"/>
      <c r="I674" s="325"/>
      <c r="J674" s="325"/>
      <c r="K674" s="339"/>
      <c r="L674" s="340"/>
      <c r="M674" s="340"/>
      <c r="N674" s="340"/>
      <c r="O674" s="340"/>
      <c r="P674" s="340"/>
      <c r="Q674" s="340"/>
      <c r="R674" s="340"/>
      <c r="S674" s="348"/>
      <c r="T674" s="348"/>
      <c r="U674" s="348"/>
      <c r="V674" s="340"/>
      <c r="W674" s="340"/>
      <c r="X674" s="340"/>
      <c r="Y674" s="340"/>
    </row>
    <row r="675" spans="1:25" ht="15" thickBot="1" x14ac:dyDescent="0.3">
      <c r="A675" s="325"/>
      <c r="B675" s="325"/>
      <c r="C675" s="325"/>
      <c r="D675" s="325"/>
      <c r="E675" s="325"/>
      <c r="F675" s="325"/>
      <c r="G675" s="325"/>
      <c r="H675" s="325"/>
      <c r="I675" s="325"/>
      <c r="J675" s="325"/>
      <c r="K675" s="339"/>
      <c r="L675" s="340"/>
      <c r="M675" s="340"/>
      <c r="N675" s="340"/>
      <c r="O675" s="340"/>
      <c r="P675" s="340"/>
      <c r="Q675" s="340"/>
      <c r="R675" s="340"/>
      <c r="S675" s="348"/>
      <c r="T675" s="348"/>
      <c r="U675" s="348"/>
      <c r="V675" s="340"/>
      <c r="W675" s="340"/>
      <c r="X675" s="340"/>
      <c r="Y675" s="340"/>
    </row>
    <row r="676" spans="1:25" ht="15" thickBot="1" x14ac:dyDescent="0.3">
      <c r="A676" s="325"/>
      <c r="B676" s="325"/>
      <c r="C676" s="325"/>
      <c r="D676" s="325"/>
      <c r="E676" s="325"/>
      <c r="F676" s="325"/>
      <c r="G676" s="325"/>
      <c r="H676" s="325"/>
      <c r="I676" s="325"/>
      <c r="J676" s="325"/>
      <c r="K676" s="339"/>
      <c r="L676" s="340"/>
      <c r="M676" s="340"/>
      <c r="N676" s="340"/>
      <c r="O676" s="340"/>
      <c r="P676" s="340"/>
      <c r="Q676" s="340"/>
      <c r="R676" s="340"/>
      <c r="S676" s="348"/>
      <c r="T676" s="348"/>
      <c r="U676" s="348"/>
      <c r="V676" s="340"/>
      <c r="W676" s="340"/>
      <c r="X676" s="340"/>
      <c r="Y676" s="340"/>
    </row>
    <row r="677" spans="1:25" ht="15" thickBot="1" x14ac:dyDescent="0.3">
      <c r="A677" s="325"/>
      <c r="B677" s="325"/>
      <c r="C677" s="325"/>
      <c r="D677" s="325"/>
      <c r="E677" s="325"/>
      <c r="F677" s="325"/>
      <c r="G677" s="325"/>
      <c r="H677" s="325"/>
      <c r="I677" s="325"/>
      <c r="J677" s="325"/>
      <c r="K677" s="339"/>
      <c r="L677" s="340"/>
      <c r="M677" s="340"/>
      <c r="N677" s="340"/>
      <c r="O677" s="340"/>
      <c r="P677" s="340"/>
      <c r="Q677" s="340"/>
      <c r="R677" s="340"/>
      <c r="S677" s="348"/>
      <c r="T677" s="348"/>
      <c r="U677" s="348"/>
      <c r="V677" s="340"/>
      <c r="W677" s="340"/>
      <c r="X677" s="340"/>
      <c r="Y677" s="340"/>
    </row>
    <row r="678" spans="1:25" ht="15" thickBot="1" x14ac:dyDescent="0.3">
      <c r="A678" s="325"/>
      <c r="B678" s="325"/>
      <c r="C678" s="325"/>
      <c r="D678" s="325"/>
      <c r="E678" s="325"/>
      <c r="F678" s="325"/>
      <c r="G678" s="325"/>
      <c r="H678" s="325"/>
      <c r="I678" s="325"/>
      <c r="J678" s="325"/>
      <c r="K678" s="339"/>
      <c r="L678" s="340"/>
      <c r="M678" s="340"/>
      <c r="N678" s="340"/>
      <c r="O678" s="340"/>
      <c r="P678" s="340"/>
      <c r="Q678" s="340"/>
      <c r="R678" s="340"/>
      <c r="S678" s="348"/>
      <c r="T678" s="348"/>
      <c r="U678" s="348"/>
      <c r="V678" s="340"/>
      <c r="W678" s="340"/>
      <c r="X678" s="340"/>
      <c r="Y678" s="340"/>
    </row>
    <row r="679" spans="1:25" ht="15" thickBot="1" x14ac:dyDescent="0.3">
      <c r="A679" s="325"/>
      <c r="B679" s="325"/>
      <c r="C679" s="325"/>
      <c r="D679" s="325"/>
      <c r="E679" s="325"/>
      <c r="F679" s="325"/>
      <c r="G679" s="325"/>
      <c r="H679" s="325"/>
      <c r="I679" s="325"/>
      <c r="J679" s="325"/>
      <c r="K679" s="339"/>
      <c r="L679" s="340"/>
      <c r="M679" s="340"/>
      <c r="N679" s="340"/>
      <c r="O679" s="340"/>
      <c r="P679" s="340"/>
      <c r="Q679" s="340"/>
      <c r="R679" s="340"/>
      <c r="S679" s="348"/>
      <c r="T679" s="348"/>
      <c r="U679" s="348"/>
      <c r="V679" s="340"/>
      <c r="W679" s="340"/>
      <c r="X679" s="340"/>
      <c r="Y679" s="340"/>
    </row>
    <row r="680" spans="1:25" ht="15" thickBot="1" x14ac:dyDescent="0.3">
      <c r="A680" s="325"/>
      <c r="B680" s="325"/>
      <c r="C680" s="325"/>
      <c r="D680" s="325"/>
      <c r="E680" s="325"/>
      <c r="F680" s="325"/>
      <c r="G680" s="325"/>
      <c r="H680" s="325"/>
      <c r="I680" s="325"/>
      <c r="J680" s="325"/>
      <c r="K680" s="339"/>
      <c r="L680" s="340"/>
      <c r="M680" s="340"/>
      <c r="N680" s="340"/>
      <c r="O680" s="340"/>
      <c r="P680" s="340"/>
      <c r="Q680" s="340"/>
      <c r="R680" s="340"/>
      <c r="S680" s="348"/>
      <c r="T680" s="348"/>
      <c r="U680" s="348"/>
      <c r="V680" s="340"/>
      <c r="W680" s="340"/>
      <c r="X680" s="340"/>
      <c r="Y680" s="340"/>
    </row>
    <row r="681" spans="1:25" ht="15" thickBot="1" x14ac:dyDescent="0.3">
      <c r="A681" s="325"/>
      <c r="B681" s="325"/>
      <c r="C681" s="325"/>
      <c r="D681" s="325"/>
      <c r="E681" s="325"/>
      <c r="F681" s="325"/>
      <c r="G681" s="325"/>
      <c r="H681" s="325"/>
      <c r="I681" s="325"/>
      <c r="J681" s="325"/>
      <c r="K681" s="339"/>
      <c r="L681" s="340"/>
      <c r="M681" s="340"/>
      <c r="N681" s="340"/>
      <c r="O681" s="340"/>
      <c r="P681" s="340"/>
      <c r="Q681" s="340"/>
      <c r="R681" s="340"/>
      <c r="S681" s="348"/>
      <c r="T681" s="348"/>
      <c r="U681" s="348"/>
      <c r="V681" s="340"/>
      <c r="W681" s="340"/>
      <c r="X681" s="340"/>
      <c r="Y681" s="340"/>
    </row>
    <row r="682" spans="1:25" ht="15" thickBot="1" x14ac:dyDescent="0.3">
      <c r="A682" s="325"/>
      <c r="B682" s="325"/>
      <c r="C682" s="325"/>
      <c r="D682" s="325"/>
      <c r="E682" s="325"/>
      <c r="F682" s="325"/>
      <c r="G682" s="325"/>
      <c r="H682" s="325"/>
      <c r="I682" s="325"/>
      <c r="J682" s="325"/>
      <c r="K682" s="339"/>
      <c r="L682" s="340"/>
      <c r="M682" s="340"/>
      <c r="N682" s="340"/>
      <c r="O682" s="340"/>
      <c r="P682" s="340"/>
      <c r="Q682" s="340"/>
      <c r="R682" s="340"/>
      <c r="S682" s="348"/>
      <c r="T682" s="348"/>
      <c r="U682" s="348"/>
      <c r="V682" s="340"/>
      <c r="W682" s="340"/>
      <c r="X682" s="340"/>
      <c r="Y682" s="340"/>
    </row>
    <row r="683" spans="1:25" ht="15" thickBot="1" x14ac:dyDescent="0.3">
      <c r="A683" s="325"/>
      <c r="B683" s="325"/>
      <c r="C683" s="325"/>
      <c r="D683" s="325"/>
      <c r="E683" s="325"/>
      <c r="F683" s="325"/>
      <c r="G683" s="325"/>
      <c r="H683" s="325"/>
      <c r="I683" s="325"/>
      <c r="J683" s="325"/>
      <c r="K683" s="339"/>
      <c r="L683" s="340"/>
      <c r="M683" s="340"/>
      <c r="N683" s="340"/>
      <c r="O683" s="340"/>
      <c r="P683" s="340"/>
      <c r="Q683" s="340"/>
      <c r="R683" s="340"/>
      <c r="S683" s="348"/>
      <c r="T683" s="348"/>
      <c r="U683" s="348"/>
      <c r="V683" s="340"/>
      <c r="W683" s="340"/>
      <c r="X683" s="340"/>
      <c r="Y683" s="340"/>
    </row>
    <row r="684" spans="1:25" ht="15" thickBot="1" x14ac:dyDescent="0.3">
      <c r="A684" s="325"/>
      <c r="B684" s="325"/>
      <c r="C684" s="325"/>
      <c r="D684" s="325"/>
      <c r="E684" s="325"/>
      <c r="F684" s="325"/>
      <c r="G684" s="325"/>
      <c r="H684" s="325"/>
      <c r="I684" s="325"/>
      <c r="J684" s="325"/>
      <c r="K684" s="339"/>
      <c r="L684" s="340"/>
      <c r="M684" s="340"/>
      <c r="N684" s="340"/>
      <c r="O684" s="340"/>
      <c r="P684" s="340"/>
      <c r="Q684" s="340"/>
      <c r="R684" s="340"/>
      <c r="S684" s="348"/>
      <c r="T684" s="348"/>
      <c r="U684" s="348"/>
      <c r="V684" s="340"/>
      <c r="W684" s="340"/>
      <c r="X684" s="340"/>
      <c r="Y684" s="340"/>
    </row>
    <row r="685" spans="1:25" ht="15" thickBot="1" x14ac:dyDescent="0.3">
      <c r="A685" s="325"/>
      <c r="B685" s="325"/>
      <c r="C685" s="325"/>
      <c r="D685" s="325"/>
      <c r="E685" s="325"/>
      <c r="F685" s="325"/>
      <c r="G685" s="325"/>
      <c r="H685" s="325"/>
      <c r="I685" s="325"/>
      <c r="J685" s="325"/>
      <c r="K685" s="339"/>
      <c r="L685" s="340"/>
      <c r="M685" s="340"/>
      <c r="N685" s="340"/>
      <c r="O685" s="340"/>
      <c r="P685" s="340"/>
      <c r="Q685" s="340"/>
      <c r="R685" s="340"/>
      <c r="S685" s="348"/>
      <c r="T685" s="348"/>
      <c r="U685" s="348"/>
      <c r="V685" s="340"/>
      <c r="W685" s="340"/>
      <c r="X685" s="340"/>
      <c r="Y685" s="340"/>
    </row>
    <row r="686" spans="1:25" ht="15" thickBot="1" x14ac:dyDescent="0.3">
      <c r="A686" s="325"/>
      <c r="B686" s="325"/>
      <c r="C686" s="325"/>
      <c r="D686" s="325"/>
      <c r="E686" s="325"/>
      <c r="F686" s="325"/>
      <c r="G686" s="325"/>
      <c r="H686" s="325"/>
      <c r="I686" s="325"/>
      <c r="J686" s="325"/>
      <c r="K686" s="339"/>
      <c r="L686" s="340"/>
      <c r="M686" s="340"/>
      <c r="N686" s="340"/>
      <c r="O686" s="340"/>
      <c r="P686" s="340"/>
      <c r="Q686" s="340"/>
      <c r="R686" s="340"/>
      <c r="S686" s="348"/>
      <c r="T686" s="348"/>
      <c r="U686" s="348"/>
      <c r="V686" s="340"/>
      <c r="W686" s="340"/>
      <c r="X686" s="340"/>
      <c r="Y686" s="340"/>
    </row>
    <row r="687" spans="1:25" ht="15" thickBot="1" x14ac:dyDescent="0.3">
      <c r="A687" s="325"/>
      <c r="B687" s="325"/>
      <c r="C687" s="325"/>
      <c r="D687" s="325"/>
      <c r="E687" s="325"/>
      <c r="F687" s="325"/>
      <c r="G687" s="325"/>
      <c r="H687" s="325"/>
      <c r="I687" s="325"/>
      <c r="J687" s="325"/>
      <c r="K687" s="339"/>
      <c r="L687" s="340"/>
      <c r="M687" s="340"/>
      <c r="N687" s="340"/>
      <c r="O687" s="340"/>
      <c r="P687" s="340"/>
      <c r="Q687" s="340"/>
      <c r="R687" s="340"/>
      <c r="S687" s="348"/>
      <c r="T687" s="348"/>
      <c r="U687" s="348"/>
      <c r="V687" s="340"/>
      <c r="W687" s="340"/>
      <c r="X687" s="340"/>
      <c r="Y687" s="340"/>
    </row>
    <row r="688" spans="1:25" ht="15" thickBot="1" x14ac:dyDescent="0.3">
      <c r="A688" s="325"/>
      <c r="B688" s="325"/>
      <c r="C688" s="325"/>
      <c r="D688" s="325"/>
      <c r="E688" s="325"/>
      <c r="F688" s="325"/>
      <c r="G688" s="325"/>
      <c r="H688" s="325"/>
      <c r="I688" s="325"/>
      <c r="J688" s="325"/>
      <c r="K688" s="339"/>
      <c r="L688" s="340"/>
      <c r="M688" s="340"/>
      <c r="N688" s="340"/>
      <c r="O688" s="340"/>
      <c r="P688" s="340"/>
      <c r="Q688" s="340"/>
      <c r="R688" s="340"/>
      <c r="S688" s="348"/>
      <c r="T688" s="348"/>
      <c r="U688" s="348"/>
      <c r="V688" s="340"/>
      <c r="W688" s="340"/>
      <c r="X688" s="340"/>
      <c r="Y688" s="340"/>
    </row>
    <row r="689" spans="1:25" ht="15" thickBot="1" x14ac:dyDescent="0.3">
      <c r="A689" s="325"/>
      <c r="B689" s="325"/>
      <c r="C689" s="325"/>
      <c r="D689" s="325"/>
      <c r="E689" s="325"/>
      <c r="F689" s="325"/>
      <c r="G689" s="325"/>
      <c r="H689" s="325"/>
      <c r="I689" s="325"/>
      <c r="J689" s="325"/>
      <c r="K689" s="339"/>
      <c r="L689" s="340"/>
      <c r="M689" s="340"/>
      <c r="N689" s="340"/>
      <c r="O689" s="340"/>
      <c r="P689" s="340"/>
      <c r="Q689" s="340"/>
      <c r="R689" s="340"/>
      <c r="S689" s="348"/>
      <c r="T689" s="348"/>
      <c r="U689" s="348"/>
      <c r="V689" s="340"/>
      <c r="W689" s="340"/>
      <c r="X689" s="340"/>
      <c r="Y689" s="340"/>
    </row>
    <row r="690" spans="1:25" ht="15" thickBot="1" x14ac:dyDescent="0.3">
      <c r="A690" s="325"/>
      <c r="B690" s="325"/>
      <c r="C690" s="325"/>
      <c r="D690" s="325"/>
      <c r="E690" s="325"/>
      <c r="F690" s="325"/>
      <c r="G690" s="325"/>
      <c r="H690" s="325"/>
      <c r="I690" s="325"/>
      <c r="J690" s="325"/>
      <c r="K690" s="339"/>
      <c r="L690" s="340"/>
      <c r="M690" s="340"/>
      <c r="N690" s="340"/>
      <c r="O690" s="340"/>
      <c r="P690" s="340"/>
      <c r="Q690" s="340"/>
      <c r="R690" s="340"/>
      <c r="S690" s="348"/>
      <c r="T690" s="348"/>
      <c r="U690" s="348"/>
      <c r="V690" s="340"/>
      <c r="W690" s="340"/>
      <c r="X690" s="340"/>
      <c r="Y690" s="340"/>
    </row>
    <row r="691" spans="1:25" ht="15" thickBot="1" x14ac:dyDescent="0.3">
      <c r="A691" s="325"/>
      <c r="B691" s="325"/>
      <c r="C691" s="325"/>
      <c r="D691" s="325"/>
      <c r="E691" s="325"/>
      <c r="F691" s="325"/>
      <c r="G691" s="325"/>
      <c r="H691" s="325"/>
      <c r="I691" s="325"/>
      <c r="J691" s="325"/>
      <c r="K691" s="339"/>
      <c r="L691" s="340"/>
      <c r="M691" s="340"/>
      <c r="N691" s="340"/>
      <c r="O691" s="340"/>
      <c r="P691" s="340"/>
      <c r="Q691" s="340"/>
      <c r="R691" s="340"/>
      <c r="S691" s="348"/>
      <c r="T691" s="348"/>
      <c r="U691" s="348"/>
      <c r="V691" s="340"/>
      <c r="W691" s="340"/>
      <c r="X691" s="340"/>
      <c r="Y691" s="340"/>
    </row>
    <row r="692" spans="1:25" ht="15" thickBot="1" x14ac:dyDescent="0.3">
      <c r="A692" s="325"/>
      <c r="B692" s="325"/>
      <c r="C692" s="325"/>
      <c r="D692" s="325"/>
      <c r="E692" s="325"/>
      <c r="F692" s="325"/>
      <c r="G692" s="325"/>
      <c r="H692" s="325"/>
      <c r="I692" s="325"/>
      <c r="J692" s="325"/>
      <c r="K692" s="339"/>
      <c r="L692" s="340"/>
      <c r="M692" s="340"/>
      <c r="N692" s="340"/>
      <c r="O692" s="340"/>
      <c r="P692" s="340"/>
      <c r="Q692" s="340"/>
      <c r="R692" s="340"/>
      <c r="S692" s="348"/>
      <c r="T692" s="348"/>
      <c r="U692" s="348"/>
      <c r="V692" s="340"/>
      <c r="W692" s="340"/>
      <c r="X692" s="340"/>
      <c r="Y692" s="340"/>
    </row>
    <row r="693" spans="1:25" ht="15" thickBot="1" x14ac:dyDescent="0.3">
      <c r="A693" s="325"/>
      <c r="B693" s="325"/>
      <c r="C693" s="325"/>
      <c r="D693" s="325"/>
      <c r="E693" s="325"/>
      <c r="F693" s="325"/>
      <c r="G693" s="325"/>
      <c r="H693" s="325"/>
      <c r="I693" s="325"/>
      <c r="J693" s="325"/>
      <c r="K693" s="339"/>
      <c r="L693" s="340"/>
      <c r="M693" s="340"/>
      <c r="N693" s="340"/>
      <c r="O693" s="340"/>
      <c r="P693" s="340"/>
      <c r="Q693" s="340"/>
      <c r="R693" s="340"/>
      <c r="S693" s="348"/>
      <c r="T693" s="348"/>
      <c r="U693" s="348"/>
      <c r="V693" s="340"/>
      <c r="W693" s="340"/>
      <c r="X693" s="340"/>
      <c r="Y693" s="340"/>
    </row>
    <row r="694" spans="1:25" ht="15" thickBot="1" x14ac:dyDescent="0.3">
      <c r="A694" s="325"/>
      <c r="B694" s="325"/>
      <c r="C694" s="325"/>
      <c r="D694" s="325"/>
      <c r="E694" s="325"/>
      <c r="F694" s="325"/>
      <c r="G694" s="325"/>
      <c r="H694" s="325"/>
      <c r="I694" s="325"/>
      <c r="J694" s="325"/>
      <c r="K694" s="339"/>
      <c r="L694" s="340"/>
      <c r="M694" s="340"/>
      <c r="N694" s="340"/>
      <c r="O694" s="340"/>
      <c r="P694" s="340"/>
      <c r="Q694" s="340"/>
      <c r="R694" s="340"/>
      <c r="S694" s="348"/>
      <c r="T694" s="348"/>
      <c r="U694" s="348"/>
      <c r="V694" s="340"/>
      <c r="W694" s="340"/>
      <c r="X694" s="340"/>
      <c r="Y694" s="340"/>
    </row>
    <row r="695" spans="1:25" ht="15" thickBot="1" x14ac:dyDescent="0.3">
      <c r="A695" s="325"/>
      <c r="B695" s="325"/>
      <c r="C695" s="325"/>
      <c r="D695" s="325"/>
      <c r="E695" s="325"/>
      <c r="F695" s="325"/>
      <c r="G695" s="325"/>
      <c r="H695" s="325"/>
      <c r="I695" s="325"/>
      <c r="J695" s="325"/>
      <c r="K695" s="339"/>
      <c r="L695" s="340"/>
      <c r="M695" s="340"/>
      <c r="N695" s="340"/>
      <c r="O695" s="340"/>
      <c r="P695" s="340"/>
      <c r="Q695" s="340"/>
      <c r="R695" s="340"/>
      <c r="S695" s="348"/>
      <c r="T695" s="348"/>
      <c r="U695" s="348"/>
      <c r="V695" s="340"/>
      <c r="W695" s="340"/>
      <c r="X695" s="340"/>
      <c r="Y695" s="340"/>
    </row>
    <row r="696" spans="1:25" ht="15" thickBot="1" x14ac:dyDescent="0.3">
      <c r="A696" s="325"/>
      <c r="B696" s="325"/>
      <c r="C696" s="325"/>
      <c r="D696" s="325"/>
      <c r="E696" s="325"/>
      <c r="F696" s="325"/>
      <c r="G696" s="325"/>
      <c r="H696" s="325"/>
      <c r="I696" s="325"/>
      <c r="J696" s="325"/>
      <c r="K696" s="339"/>
      <c r="L696" s="340"/>
      <c r="M696" s="340"/>
      <c r="N696" s="340"/>
      <c r="O696" s="340"/>
      <c r="P696" s="340"/>
      <c r="Q696" s="340"/>
      <c r="R696" s="340"/>
      <c r="S696" s="348"/>
      <c r="T696" s="348"/>
      <c r="U696" s="348"/>
      <c r="V696" s="340"/>
      <c r="W696" s="340"/>
      <c r="X696" s="340"/>
      <c r="Y696" s="340"/>
    </row>
    <row r="697" spans="1:25" ht="15" thickBot="1" x14ac:dyDescent="0.3">
      <c r="A697" s="325"/>
      <c r="B697" s="325"/>
      <c r="C697" s="325"/>
      <c r="D697" s="325"/>
      <c r="E697" s="325"/>
      <c r="F697" s="325"/>
      <c r="G697" s="325"/>
      <c r="H697" s="325"/>
      <c r="I697" s="325"/>
      <c r="J697" s="325"/>
      <c r="K697" s="339"/>
      <c r="L697" s="340"/>
      <c r="M697" s="340"/>
      <c r="N697" s="340"/>
      <c r="O697" s="340"/>
      <c r="P697" s="340"/>
      <c r="Q697" s="340"/>
      <c r="R697" s="340"/>
      <c r="S697" s="348"/>
      <c r="T697" s="348"/>
      <c r="U697" s="348"/>
      <c r="V697" s="340"/>
      <c r="W697" s="340"/>
      <c r="X697" s="340"/>
      <c r="Y697" s="340"/>
    </row>
    <row r="698" spans="1:25" ht="15" thickBot="1" x14ac:dyDescent="0.3">
      <c r="A698" s="325"/>
      <c r="B698" s="325"/>
      <c r="C698" s="325"/>
      <c r="D698" s="325"/>
      <c r="E698" s="325"/>
      <c r="F698" s="325"/>
      <c r="G698" s="325"/>
      <c r="H698" s="325"/>
      <c r="I698" s="325"/>
      <c r="J698" s="325"/>
      <c r="K698" s="339"/>
      <c r="L698" s="340"/>
      <c r="M698" s="340"/>
      <c r="N698" s="340"/>
      <c r="O698" s="340"/>
      <c r="P698" s="340"/>
      <c r="Q698" s="340"/>
      <c r="R698" s="340"/>
      <c r="S698" s="348"/>
      <c r="T698" s="348"/>
      <c r="U698" s="348"/>
      <c r="V698" s="340"/>
      <c r="W698" s="340"/>
      <c r="X698" s="340"/>
      <c r="Y698" s="340"/>
    </row>
    <row r="699" spans="1:25" ht="15" thickBot="1" x14ac:dyDescent="0.3">
      <c r="A699" s="325"/>
      <c r="B699" s="325"/>
      <c r="C699" s="325"/>
      <c r="D699" s="325"/>
      <c r="E699" s="325"/>
      <c r="F699" s="325"/>
      <c r="G699" s="325"/>
      <c r="H699" s="325"/>
      <c r="I699" s="325"/>
      <c r="J699" s="325"/>
      <c r="K699" s="339"/>
      <c r="L699" s="340"/>
      <c r="M699" s="340"/>
      <c r="N699" s="340"/>
      <c r="O699" s="340"/>
      <c r="P699" s="340"/>
      <c r="Q699" s="340"/>
      <c r="R699" s="340"/>
      <c r="S699" s="348"/>
      <c r="T699" s="348"/>
      <c r="U699" s="348"/>
      <c r="V699" s="340"/>
      <c r="W699" s="340"/>
      <c r="X699" s="340"/>
      <c r="Y699" s="340"/>
    </row>
    <row r="700" spans="1:25" ht="15" thickBot="1" x14ac:dyDescent="0.3">
      <c r="A700" s="325"/>
      <c r="B700" s="325"/>
      <c r="C700" s="325"/>
      <c r="D700" s="325"/>
      <c r="E700" s="325"/>
      <c r="F700" s="325"/>
      <c r="G700" s="325"/>
      <c r="H700" s="325"/>
      <c r="I700" s="325"/>
      <c r="J700" s="325"/>
      <c r="K700" s="339"/>
      <c r="L700" s="340"/>
      <c r="M700" s="340"/>
      <c r="N700" s="340"/>
      <c r="O700" s="340"/>
      <c r="P700" s="340"/>
      <c r="Q700" s="340"/>
      <c r="R700" s="340"/>
      <c r="S700" s="348"/>
      <c r="T700" s="348"/>
      <c r="U700" s="348"/>
      <c r="V700" s="340"/>
      <c r="W700" s="340"/>
      <c r="X700" s="340"/>
      <c r="Y700" s="340"/>
    </row>
    <row r="701" spans="1:25" ht="15" thickBot="1" x14ac:dyDescent="0.3">
      <c r="A701" s="325"/>
      <c r="B701" s="325"/>
      <c r="C701" s="325"/>
      <c r="D701" s="325"/>
      <c r="E701" s="325"/>
      <c r="F701" s="325"/>
      <c r="G701" s="325"/>
      <c r="H701" s="325"/>
      <c r="I701" s="325"/>
      <c r="J701" s="325"/>
      <c r="K701" s="339"/>
      <c r="L701" s="340"/>
      <c r="M701" s="340"/>
      <c r="N701" s="340"/>
      <c r="O701" s="340"/>
      <c r="P701" s="340"/>
      <c r="Q701" s="340"/>
      <c r="R701" s="340"/>
      <c r="S701" s="348"/>
      <c r="T701" s="348"/>
      <c r="U701" s="348"/>
      <c r="V701" s="340"/>
      <c r="W701" s="340"/>
      <c r="X701" s="340"/>
      <c r="Y701" s="340"/>
    </row>
    <row r="702" spans="1:25" ht="15" thickBot="1" x14ac:dyDescent="0.3">
      <c r="A702" s="325"/>
      <c r="B702" s="325"/>
      <c r="C702" s="325"/>
      <c r="D702" s="325"/>
      <c r="E702" s="325"/>
      <c r="F702" s="325"/>
      <c r="G702" s="325"/>
      <c r="H702" s="325"/>
      <c r="I702" s="325"/>
      <c r="J702" s="325"/>
      <c r="K702" s="339"/>
      <c r="L702" s="340"/>
      <c r="M702" s="340"/>
      <c r="N702" s="340"/>
      <c r="O702" s="340"/>
      <c r="P702" s="340"/>
      <c r="Q702" s="340"/>
      <c r="R702" s="340"/>
      <c r="S702" s="348"/>
      <c r="T702" s="348"/>
      <c r="U702" s="348"/>
      <c r="V702" s="340"/>
      <c r="W702" s="340"/>
      <c r="X702" s="340"/>
      <c r="Y702" s="340"/>
    </row>
    <row r="703" spans="1:25" ht="15" thickBot="1" x14ac:dyDescent="0.3">
      <c r="A703" s="325"/>
      <c r="B703" s="325"/>
      <c r="C703" s="325"/>
      <c r="D703" s="325"/>
      <c r="E703" s="325"/>
      <c r="F703" s="325"/>
      <c r="G703" s="325"/>
      <c r="H703" s="325"/>
      <c r="I703" s="325"/>
      <c r="J703" s="325"/>
      <c r="K703" s="339"/>
      <c r="L703" s="340"/>
      <c r="M703" s="340"/>
      <c r="N703" s="340"/>
      <c r="O703" s="340"/>
      <c r="P703" s="340"/>
      <c r="Q703" s="340"/>
      <c r="R703" s="340"/>
      <c r="S703" s="348"/>
      <c r="T703" s="348"/>
      <c r="U703" s="348"/>
      <c r="V703" s="340"/>
      <c r="W703" s="340"/>
      <c r="X703" s="340"/>
      <c r="Y703" s="340"/>
    </row>
    <row r="704" spans="1:25" ht="15" thickBot="1" x14ac:dyDescent="0.3">
      <c r="A704" s="325"/>
      <c r="B704" s="325"/>
      <c r="C704" s="325"/>
      <c r="D704" s="325"/>
      <c r="E704" s="325"/>
      <c r="F704" s="325"/>
      <c r="G704" s="325"/>
      <c r="H704" s="325"/>
      <c r="I704" s="325"/>
      <c r="J704" s="325"/>
      <c r="K704" s="339"/>
      <c r="L704" s="340"/>
      <c r="M704" s="340"/>
      <c r="N704" s="340"/>
      <c r="O704" s="340"/>
      <c r="P704" s="340"/>
      <c r="Q704" s="340"/>
      <c r="R704" s="340"/>
      <c r="S704" s="348"/>
      <c r="T704" s="348"/>
      <c r="U704" s="348"/>
      <c r="V704" s="340"/>
      <c r="W704" s="340"/>
      <c r="X704" s="340"/>
      <c r="Y704" s="340"/>
    </row>
    <row r="705" spans="1:25" ht="15" thickBot="1" x14ac:dyDescent="0.3">
      <c r="A705" s="325"/>
      <c r="B705" s="325"/>
      <c r="C705" s="325"/>
      <c r="D705" s="325"/>
      <c r="E705" s="325"/>
      <c r="F705" s="325"/>
      <c r="G705" s="325"/>
      <c r="H705" s="325"/>
      <c r="I705" s="325"/>
      <c r="J705" s="325"/>
      <c r="K705" s="339"/>
      <c r="L705" s="340"/>
      <c r="M705" s="340"/>
      <c r="N705" s="340"/>
      <c r="O705" s="340"/>
      <c r="P705" s="340"/>
      <c r="Q705" s="340"/>
      <c r="R705" s="340"/>
      <c r="S705" s="348"/>
      <c r="T705" s="348"/>
      <c r="U705" s="348"/>
      <c r="V705" s="340"/>
      <c r="W705" s="340"/>
      <c r="X705" s="340"/>
      <c r="Y705" s="340"/>
    </row>
    <row r="706" spans="1:25" ht="15" thickBot="1" x14ac:dyDescent="0.3">
      <c r="A706" s="325"/>
      <c r="B706" s="325"/>
      <c r="C706" s="325"/>
      <c r="D706" s="325"/>
      <c r="E706" s="325"/>
      <c r="F706" s="325"/>
      <c r="G706" s="325"/>
      <c r="H706" s="325"/>
      <c r="I706" s="325"/>
      <c r="J706" s="325"/>
      <c r="K706" s="339"/>
      <c r="L706" s="340"/>
      <c r="M706" s="340"/>
      <c r="N706" s="340"/>
      <c r="O706" s="340"/>
      <c r="P706" s="340"/>
      <c r="Q706" s="340"/>
      <c r="R706" s="340"/>
      <c r="S706" s="348"/>
      <c r="T706" s="348"/>
      <c r="U706" s="348"/>
      <c r="V706" s="340"/>
      <c r="W706" s="340"/>
      <c r="X706" s="340"/>
      <c r="Y706" s="340"/>
    </row>
    <row r="707" spans="1:25" ht="15" thickBot="1" x14ac:dyDescent="0.3">
      <c r="A707" s="325"/>
      <c r="B707" s="325"/>
      <c r="C707" s="325"/>
      <c r="D707" s="325"/>
      <c r="E707" s="325"/>
      <c r="F707" s="325"/>
      <c r="G707" s="325"/>
      <c r="H707" s="325"/>
      <c r="I707" s="325"/>
      <c r="J707" s="325"/>
      <c r="K707" s="339"/>
      <c r="L707" s="340"/>
      <c r="M707" s="340"/>
      <c r="N707" s="340"/>
      <c r="O707" s="340"/>
      <c r="P707" s="340"/>
      <c r="Q707" s="340"/>
      <c r="R707" s="340"/>
      <c r="S707" s="348"/>
      <c r="T707" s="348"/>
      <c r="U707" s="348"/>
      <c r="V707" s="340"/>
      <c r="W707" s="340"/>
      <c r="X707" s="340"/>
      <c r="Y707" s="340"/>
    </row>
    <row r="708" spans="1:25" ht="15" thickBot="1" x14ac:dyDescent="0.3">
      <c r="A708" s="325"/>
      <c r="B708" s="325"/>
      <c r="C708" s="325"/>
      <c r="D708" s="325"/>
      <c r="E708" s="325"/>
      <c r="F708" s="325"/>
      <c r="G708" s="325"/>
      <c r="H708" s="325"/>
      <c r="I708" s="325"/>
      <c r="J708" s="325"/>
      <c r="K708" s="339"/>
      <c r="L708" s="340"/>
      <c r="M708" s="340"/>
      <c r="N708" s="340"/>
      <c r="O708" s="340"/>
      <c r="P708" s="340"/>
      <c r="Q708" s="340"/>
      <c r="R708" s="340"/>
      <c r="S708" s="348"/>
      <c r="T708" s="348"/>
      <c r="U708" s="348"/>
      <c r="V708" s="340"/>
      <c r="W708" s="340"/>
      <c r="X708" s="340"/>
      <c r="Y708" s="340"/>
    </row>
    <row r="709" spans="1:25" ht="15" thickBot="1" x14ac:dyDescent="0.3">
      <c r="A709" s="325"/>
      <c r="B709" s="325"/>
      <c r="C709" s="325"/>
      <c r="D709" s="325"/>
      <c r="E709" s="325"/>
      <c r="F709" s="325"/>
      <c r="G709" s="325"/>
      <c r="H709" s="325"/>
      <c r="I709" s="325"/>
      <c r="J709" s="325"/>
      <c r="K709" s="339"/>
      <c r="L709" s="340"/>
      <c r="M709" s="340"/>
      <c r="N709" s="340"/>
      <c r="O709" s="340"/>
      <c r="P709" s="340"/>
      <c r="Q709" s="340"/>
      <c r="R709" s="340"/>
      <c r="S709" s="348"/>
      <c r="T709" s="348"/>
      <c r="U709" s="348"/>
      <c r="V709" s="340"/>
      <c r="W709" s="340"/>
      <c r="X709" s="340"/>
      <c r="Y709" s="340"/>
    </row>
    <row r="710" spans="1:25" ht="15" thickBot="1" x14ac:dyDescent="0.3">
      <c r="A710" s="325"/>
      <c r="B710" s="325"/>
      <c r="C710" s="325"/>
      <c r="D710" s="325"/>
      <c r="E710" s="325"/>
      <c r="F710" s="325"/>
      <c r="G710" s="325"/>
      <c r="H710" s="325"/>
      <c r="I710" s="325"/>
      <c r="J710" s="325"/>
      <c r="K710" s="339"/>
      <c r="L710" s="340"/>
      <c r="M710" s="340"/>
      <c r="N710" s="340"/>
      <c r="O710" s="340"/>
      <c r="P710" s="340"/>
      <c r="Q710" s="340"/>
      <c r="R710" s="340"/>
      <c r="S710" s="348"/>
      <c r="T710" s="348"/>
      <c r="U710" s="348"/>
      <c r="V710" s="340"/>
      <c r="W710" s="340"/>
      <c r="X710" s="340"/>
      <c r="Y710" s="340"/>
    </row>
    <row r="711" spans="1:25" ht="15" thickBot="1" x14ac:dyDescent="0.3">
      <c r="A711" s="325"/>
      <c r="B711" s="325"/>
      <c r="C711" s="325"/>
      <c r="D711" s="325"/>
      <c r="E711" s="325"/>
      <c r="F711" s="325"/>
      <c r="G711" s="325"/>
      <c r="H711" s="325"/>
      <c r="I711" s="325"/>
      <c r="J711" s="325"/>
      <c r="K711" s="339"/>
      <c r="L711" s="340"/>
      <c r="M711" s="340"/>
      <c r="N711" s="340"/>
      <c r="O711" s="340"/>
      <c r="P711" s="340"/>
      <c r="Q711" s="340"/>
      <c r="R711" s="340"/>
      <c r="S711" s="348"/>
      <c r="T711" s="348"/>
      <c r="U711" s="348"/>
      <c r="V711" s="340"/>
      <c r="W711" s="340"/>
      <c r="X711" s="340"/>
      <c r="Y711" s="340"/>
    </row>
    <row r="712" spans="1:25" ht="15" thickBot="1" x14ac:dyDescent="0.3">
      <c r="A712" s="325"/>
      <c r="B712" s="325"/>
      <c r="C712" s="325"/>
      <c r="D712" s="325"/>
      <c r="E712" s="325"/>
      <c r="F712" s="325"/>
      <c r="G712" s="325"/>
      <c r="H712" s="325"/>
      <c r="I712" s="325"/>
      <c r="J712" s="325"/>
      <c r="K712" s="339"/>
      <c r="L712" s="340"/>
      <c r="M712" s="340"/>
      <c r="N712" s="340"/>
      <c r="O712" s="340"/>
      <c r="P712" s="340"/>
      <c r="Q712" s="340"/>
      <c r="R712" s="340"/>
      <c r="S712" s="348"/>
      <c r="T712" s="348"/>
      <c r="U712" s="348"/>
      <c r="V712" s="340"/>
      <c r="W712" s="340"/>
      <c r="X712" s="340"/>
      <c r="Y712" s="340"/>
    </row>
    <row r="713" spans="1:25" ht="15" thickBot="1" x14ac:dyDescent="0.3">
      <c r="A713" s="325"/>
      <c r="B713" s="325"/>
      <c r="C713" s="325"/>
      <c r="D713" s="325"/>
      <c r="E713" s="325"/>
      <c r="F713" s="325"/>
      <c r="G713" s="325"/>
      <c r="H713" s="325"/>
      <c r="I713" s="325"/>
      <c r="J713" s="325"/>
      <c r="K713" s="339"/>
      <c r="L713" s="340"/>
      <c r="M713" s="340"/>
      <c r="N713" s="340"/>
      <c r="O713" s="340"/>
      <c r="P713" s="340"/>
      <c r="Q713" s="340"/>
      <c r="R713" s="340"/>
      <c r="S713" s="348"/>
      <c r="T713" s="348"/>
      <c r="U713" s="348"/>
      <c r="V713" s="340"/>
      <c r="W713" s="340"/>
      <c r="X713" s="340"/>
      <c r="Y713" s="340"/>
    </row>
    <row r="714" spans="1:25" ht="15" thickBot="1" x14ac:dyDescent="0.3">
      <c r="A714" s="325"/>
      <c r="B714" s="325"/>
      <c r="C714" s="325"/>
      <c r="D714" s="325"/>
      <c r="E714" s="325"/>
      <c r="F714" s="325"/>
      <c r="G714" s="325"/>
      <c r="H714" s="325"/>
      <c r="I714" s="325"/>
      <c r="J714" s="325"/>
      <c r="K714" s="339"/>
      <c r="L714" s="340"/>
      <c r="M714" s="340"/>
      <c r="N714" s="340"/>
      <c r="O714" s="340"/>
      <c r="P714" s="340"/>
      <c r="Q714" s="340"/>
      <c r="R714" s="340"/>
      <c r="S714" s="348"/>
      <c r="T714" s="348"/>
      <c r="U714" s="348"/>
      <c r="V714" s="340"/>
      <c r="W714" s="340"/>
      <c r="X714" s="340"/>
      <c r="Y714" s="340"/>
    </row>
    <row r="715" spans="1:25" ht="15" thickBot="1" x14ac:dyDescent="0.3">
      <c r="A715" s="325"/>
      <c r="B715" s="325"/>
      <c r="C715" s="325"/>
      <c r="D715" s="325"/>
      <c r="E715" s="325"/>
      <c r="F715" s="325"/>
      <c r="G715" s="325"/>
      <c r="H715" s="325"/>
      <c r="I715" s="325"/>
      <c r="J715" s="325"/>
      <c r="K715" s="339"/>
      <c r="L715" s="340"/>
      <c r="M715" s="340"/>
      <c r="N715" s="340"/>
      <c r="O715" s="340"/>
      <c r="P715" s="340"/>
      <c r="Q715" s="340"/>
      <c r="R715" s="340"/>
      <c r="S715" s="348"/>
      <c r="T715" s="348"/>
      <c r="U715" s="348"/>
      <c r="V715" s="340"/>
      <c r="W715" s="340"/>
      <c r="X715" s="340"/>
      <c r="Y715" s="340"/>
    </row>
    <row r="716" spans="1:25" ht="15" thickBot="1" x14ac:dyDescent="0.3">
      <c r="A716" s="325"/>
      <c r="B716" s="325"/>
      <c r="C716" s="325"/>
      <c r="D716" s="325"/>
      <c r="E716" s="325"/>
      <c r="F716" s="325"/>
      <c r="G716" s="325"/>
      <c r="H716" s="325"/>
      <c r="I716" s="325"/>
      <c r="J716" s="325"/>
      <c r="K716" s="339"/>
      <c r="L716" s="340"/>
      <c r="M716" s="340"/>
      <c r="N716" s="340"/>
      <c r="O716" s="340"/>
      <c r="P716" s="340"/>
      <c r="Q716" s="340"/>
      <c r="R716" s="340"/>
      <c r="S716" s="348"/>
      <c r="T716" s="348"/>
      <c r="U716" s="348"/>
      <c r="V716" s="340"/>
      <c r="W716" s="340"/>
      <c r="X716" s="340"/>
      <c r="Y716" s="340"/>
    </row>
    <row r="717" spans="1:25" ht="15" thickBot="1" x14ac:dyDescent="0.3">
      <c r="A717" s="325"/>
      <c r="B717" s="325"/>
      <c r="C717" s="325"/>
      <c r="D717" s="325"/>
      <c r="E717" s="325"/>
      <c r="F717" s="325"/>
      <c r="G717" s="325"/>
      <c r="H717" s="325"/>
      <c r="I717" s="325"/>
      <c r="J717" s="325"/>
      <c r="K717" s="339"/>
      <c r="L717" s="340"/>
      <c r="M717" s="340"/>
      <c r="N717" s="340"/>
      <c r="O717" s="340"/>
      <c r="P717" s="340"/>
      <c r="Q717" s="340"/>
      <c r="R717" s="340"/>
      <c r="S717" s="348"/>
      <c r="T717" s="348"/>
      <c r="U717" s="348"/>
      <c r="V717" s="340"/>
      <c r="W717" s="340"/>
      <c r="X717" s="340"/>
      <c r="Y717" s="340"/>
    </row>
    <row r="718" spans="1:25" ht="15" thickBot="1" x14ac:dyDescent="0.3">
      <c r="A718" s="325"/>
      <c r="B718" s="325"/>
      <c r="C718" s="325"/>
      <c r="D718" s="325"/>
      <c r="E718" s="325"/>
      <c r="F718" s="325"/>
      <c r="G718" s="325"/>
      <c r="H718" s="325"/>
      <c r="I718" s="325"/>
      <c r="J718" s="325"/>
      <c r="K718" s="339"/>
      <c r="L718" s="340"/>
      <c r="M718" s="340"/>
      <c r="N718" s="340"/>
      <c r="O718" s="340"/>
      <c r="P718" s="340"/>
      <c r="Q718" s="340"/>
      <c r="R718" s="340"/>
      <c r="S718" s="348"/>
      <c r="T718" s="348"/>
      <c r="U718" s="348"/>
      <c r="V718" s="340"/>
      <c r="W718" s="340"/>
      <c r="X718" s="340"/>
      <c r="Y718" s="340"/>
    </row>
    <row r="719" spans="1:25" ht="15" thickBot="1" x14ac:dyDescent="0.3">
      <c r="A719" s="325"/>
      <c r="B719" s="325"/>
      <c r="C719" s="325"/>
      <c r="D719" s="325"/>
      <c r="E719" s="325"/>
      <c r="F719" s="325"/>
      <c r="G719" s="325"/>
      <c r="H719" s="325"/>
      <c r="I719" s="325"/>
      <c r="J719" s="325"/>
      <c r="K719" s="339"/>
      <c r="L719" s="340"/>
      <c r="M719" s="340"/>
      <c r="N719" s="340"/>
      <c r="O719" s="340"/>
      <c r="P719" s="340"/>
      <c r="Q719" s="340"/>
      <c r="R719" s="340"/>
      <c r="S719" s="348"/>
      <c r="T719" s="348"/>
      <c r="U719" s="348"/>
      <c r="V719" s="340"/>
      <c r="W719" s="340"/>
      <c r="X719" s="340"/>
      <c r="Y719" s="340"/>
    </row>
    <row r="720" spans="1:25" ht="15" thickBot="1" x14ac:dyDescent="0.3">
      <c r="A720" s="325"/>
      <c r="B720" s="325"/>
      <c r="C720" s="325"/>
      <c r="D720" s="325"/>
      <c r="E720" s="325"/>
      <c r="F720" s="325"/>
      <c r="G720" s="325"/>
      <c r="H720" s="325"/>
      <c r="I720" s="325"/>
      <c r="J720" s="325"/>
      <c r="K720" s="339"/>
      <c r="L720" s="340"/>
      <c r="M720" s="340"/>
      <c r="N720" s="340"/>
      <c r="O720" s="340"/>
      <c r="P720" s="340"/>
      <c r="Q720" s="340"/>
      <c r="R720" s="340"/>
      <c r="S720" s="348"/>
      <c r="T720" s="348"/>
      <c r="U720" s="348"/>
      <c r="V720" s="340"/>
      <c r="W720" s="340"/>
      <c r="X720" s="340"/>
      <c r="Y720" s="340"/>
    </row>
    <row r="721" spans="1:25" ht="15" thickBot="1" x14ac:dyDescent="0.3">
      <c r="A721" s="325"/>
      <c r="B721" s="325"/>
      <c r="C721" s="325"/>
      <c r="D721" s="325"/>
      <c r="E721" s="325"/>
      <c r="F721" s="325"/>
      <c r="G721" s="325"/>
      <c r="H721" s="325"/>
      <c r="I721" s="325"/>
      <c r="J721" s="325"/>
      <c r="K721" s="339"/>
      <c r="L721" s="340"/>
      <c r="M721" s="340"/>
      <c r="N721" s="340"/>
      <c r="O721" s="340"/>
      <c r="P721" s="340"/>
      <c r="Q721" s="340"/>
      <c r="R721" s="340"/>
      <c r="S721" s="348"/>
      <c r="T721" s="348"/>
      <c r="U721" s="348"/>
      <c r="V721" s="340"/>
      <c r="W721" s="340"/>
      <c r="X721" s="340"/>
      <c r="Y721" s="340"/>
    </row>
    <row r="722" spans="1:25" ht="15" thickBot="1" x14ac:dyDescent="0.3">
      <c r="A722" s="325"/>
      <c r="B722" s="325"/>
      <c r="C722" s="325"/>
      <c r="D722" s="325"/>
      <c r="E722" s="325"/>
      <c r="F722" s="325"/>
      <c r="G722" s="325"/>
      <c r="H722" s="325"/>
      <c r="I722" s="325"/>
      <c r="J722" s="325"/>
      <c r="K722" s="339"/>
      <c r="L722" s="340"/>
      <c r="M722" s="340"/>
      <c r="N722" s="340"/>
      <c r="O722" s="340"/>
      <c r="P722" s="340"/>
      <c r="Q722" s="340"/>
      <c r="R722" s="340"/>
      <c r="S722" s="348"/>
      <c r="T722" s="348"/>
      <c r="U722" s="348"/>
      <c r="V722" s="340"/>
      <c r="W722" s="340"/>
      <c r="X722" s="340"/>
      <c r="Y722" s="340"/>
    </row>
    <row r="723" spans="1:25" ht="15" thickBot="1" x14ac:dyDescent="0.3">
      <c r="A723" s="325"/>
      <c r="B723" s="325"/>
      <c r="C723" s="325"/>
      <c r="D723" s="325"/>
      <c r="E723" s="325"/>
      <c r="F723" s="325"/>
      <c r="G723" s="325"/>
      <c r="H723" s="325"/>
      <c r="I723" s="325"/>
      <c r="J723" s="325"/>
      <c r="K723" s="339"/>
      <c r="L723" s="340"/>
      <c r="M723" s="340"/>
      <c r="N723" s="340"/>
      <c r="O723" s="340"/>
      <c r="P723" s="340"/>
      <c r="Q723" s="340"/>
      <c r="R723" s="340"/>
      <c r="S723" s="348"/>
      <c r="T723" s="348"/>
      <c r="U723" s="348"/>
      <c r="V723" s="340"/>
      <c r="W723" s="340"/>
      <c r="X723" s="340"/>
      <c r="Y723" s="340"/>
    </row>
    <row r="724" spans="1:25" ht="15" thickBot="1" x14ac:dyDescent="0.3">
      <c r="A724" s="325"/>
      <c r="B724" s="325"/>
      <c r="C724" s="325"/>
      <c r="D724" s="325"/>
      <c r="E724" s="325"/>
      <c r="F724" s="325"/>
      <c r="G724" s="325"/>
      <c r="H724" s="325"/>
      <c r="I724" s="325"/>
      <c r="J724" s="325"/>
      <c r="K724" s="339"/>
      <c r="L724" s="340"/>
      <c r="M724" s="340"/>
      <c r="N724" s="340"/>
      <c r="O724" s="340"/>
      <c r="P724" s="340"/>
      <c r="Q724" s="340"/>
      <c r="R724" s="340"/>
      <c r="S724" s="348"/>
      <c r="T724" s="348"/>
      <c r="U724" s="348"/>
      <c r="V724" s="340"/>
      <c r="W724" s="340"/>
      <c r="X724" s="340"/>
      <c r="Y724" s="340"/>
    </row>
    <row r="725" spans="1:25" ht="15" thickBot="1" x14ac:dyDescent="0.3">
      <c r="A725" s="325"/>
      <c r="B725" s="325"/>
      <c r="C725" s="325"/>
      <c r="D725" s="325"/>
      <c r="E725" s="325"/>
      <c r="F725" s="325"/>
      <c r="G725" s="325"/>
      <c r="H725" s="325"/>
      <c r="I725" s="325"/>
      <c r="J725" s="325"/>
      <c r="K725" s="339"/>
      <c r="L725" s="340"/>
      <c r="M725" s="340"/>
      <c r="N725" s="340"/>
      <c r="O725" s="340"/>
      <c r="P725" s="340"/>
      <c r="Q725" s="340"/>
      <c r="R725" s="340"/>
      <c r="S725" s="348"/>
      <c r="T725" s="348"/>
      <c r="U725" s="348"/>
      <c r="V725" s="340"/>
      <c r="W725" s="340"/>
      <c r="X725" s="340"/>
      <c r="Y725" s="340"/>
    </row>
    <row r="726" spans="1:25" ht="15" thickBot="1" x14ac:dyDescent="0.3">
      <c r="A726" s="325"/>
      <c r="B726" s="325"/>
      <c r="C726" s="325"/>
      <c r="D726" s="325"/>
      <c r="E726" s="325"/>
      <c r="F726" s="325"/>
      <c r="G726" s="325"/>
      <c r="H726" s="325"/>
      <c r="I726" s="325"/>
      <c r="J726" s="325"/>
      <c r="K726" s="339"/>
      <c r="L726" s="340"/>
      <c r="M726" s="340"/>
      <c r="N726" s="340"/>
      <c r="O726" s="340"/>
      <c r="P726" s="340"/>
      <c r="Q726" s="340"/>
      <c r="R726" s="340"/>
      <c r="S726" s="348"/>
      <c r="T726" s="348"/>
      <c r="U726" s="348"/>
      <c r="V726" s="340"/>
      <c r="W726" s="340"/>
      <c r="X726" s="340"/>
      <c r="Y726" s="340"/>
    </row>
    <row r="727" spans="1:25" ht="15" thickBot="1" x14ac:dyDescent="0.3">
      <c r="A727" s="325"/>
      <c r="B727" s="325"/>
      <c r="C727" s="325"/>
      <c r="D727" s="325"/>
      <c r="E727" s="325"/>
      <c r="F727" s="325"/>
      <c r="G727" s="325"/>
      <c r="H727" s="325"/>
      <c r="I727" s="325"/>
      <c r="J727" s="325"/>
      <c r="K727" s="339"/>
      <c r="L727" s="340"/>
      <c r="M727" s="340"/>
      <c r="N727" s="340"/>
      <c r="O727" s="340"/>
      <c r="P727" s="340"/>
      <c r="Q727" s="340"/>
      <c r="R727" s="340"/>
      <c r="S727" s="348"/>
      <c r="T727" s="348"/>
      <c r="U727" s="348"/>
      <c r="V727" s="340"/>
      <c r="W727" s="340"/>
      <c r="X727" s="340"/>
      <c r="Y727" s="340"/>
    </row>
    <row r="728" spans="1:25" ht="15" thickBot="1" x14ac:dyDescent="0.3">
      <c r="A728" s="325"/>
      <c r="B728" s="325"/>
      <c r="C728" s="325"/>
      <c r="D728" s="325"/>
      <c r="E728" s="325"/>
      <c r="F728" s="325"/>
      <c r="G728" s="325"/>
      <c r="H728" s="325"/>
      <c r="I728" s="325"/>
      <c r="J728" s="325"/>
      <c r="K728" s="339"/>
      <c r="L728" s="340"/>
      <c r="M728" s="340"/>
      <c r="N728" s="340"/>
      <c r="O728" s="340"/>
      <c r="P728" s="340"/>
      <c r="Q728" s="340"/>
      <c r="R728" s="340"/>
      <c r="S728" s="348"/>
      <c r="T728" s="348"/>
      <c r="U728" s="348"/>
      <c r="V728" s="340"/>
      <c r="W728" s="340"/>
      <c r="X728" s="340"/>
      <c r="Y728" s="340"/>
    </row>
    <row r="729" spans="1:25" ht="15" thickBot="1" x14ac:dyDescent="0.3">
      <c r="A729" s="325"/>
      <c r="B729" s="325"/>
      <c r="C729" s="325"/>
      <c r="D729" s="325"/>
      <c r="E729" s="325"/>
      <c r="F729" s="325"/>
      <c r="G729" s="325"/>
      <c r="H729" s="325"/>
      <c r="I729" s="325"/>
      <c r="J729" s="325"/>
      <c r="K729" s="339"/>
      <c r="L729" s="340"/>
      <c r="M729" s="340"/>
      <c r="N729" s="340"/>
      <c r="O729" s="340"/>
      <c r="P729" s="340"/>
      <c r="Q729" s="340"/>
      <c r="R729" s="340"/>
      <c r="S729" s="348"/>
      <c r="T729" s="348"/>
      <c r="U729" s="348"/>
      <c r="V729" s="340"/>
      <c r="W729" s="340"/>
      <c r="X729" s="340"/>
      <c r="Y729" s="340"/>
    </row>
    <row r="730" spans="1:25" ht="15" thickBot="1" x14ac:dyDescent="0.3">
      <c r="A730" s="325"/>
      <c r="B730" s="325"/>
      <c r="C730" s="325"/>
      <c r="D730" s="325"/>
      <c r="E730" s="325"/>
      <c r="F730" s="325"/>
      <c r="G730" s="325"/>
      <c r="H730" s="325"/>
      <c r="I730" s="325"/>
      <c r="J730" s="325"/>
      <c r="K730" s="339"/>
      <c r="L730" s="340"/>
      <c r="M730" s="340"/>
      <c r="N730" s="340"/>
      <c r="O730" s="340"/>
      <c r="P730" s="340"/>
      <c r="Q730" s="340"/>
      <c r="R730" s="340"/>
      <c r="S730" s="348"/>
      <c r="T730" s="348"/>
      <c r="U730" s="348"/>
      <c r="V730" s="340"/>
      <c r="W730" s="340"/>
      <c r="X730" s="340"/>
      <c r="Y730" s="340"/>
    </row>
    <row r="731" spans="1:25" ht="15" thickBot="1" x14ac:dyDescent="0.3">
      <c r="A731" s="325"/>
      <c r="B731" s="325"/>
      <c r="C731" s="325"/>
      <c r="D731" s="325"/>
      <c r="E731" s="325"/>
      <c r="F731" s="325"/>
      <c r="G731" s="325"/>
      <c r="H731" s="325"/>
      <c r="I731" s="325"/>
      <c r="J731" s="325"/>
      <c r="K731" s="339"/>
      <c r="L731" s="340"/>
      <c r="M731" s="340"/>
      <c r="N731" s="340"/>
      <c r="O731" s="340"/>
      <c r="P731" s="340"/>
      <c r="Q731" s="340"/>
      <c r="R731" s="340"/>
      <c r="S731" s="348"/>
      <c r="T731" s="348"/>
      <c r="U731" s="348"/>
      <c r="V731" s="340"/>
      <c r="W731" s="340"/>
      <c r="X731" s="340"/>
      <c r="Y731" s="340"/>
    </row>
    <row r="732" spans="1:25" ht="15" thickBot="1" x14ac:dyDescent="0.3">
      <c r="A732" s="325"/>
      <c r="B732" s="325"/>
      <c r="C732" s="325"/>
      <c r="D732" s="325"/>
      <c r="E732" s="325"/>
      <c r="F732" s="325"/>
      <c r="G732" s="325"/>
      <c r="H732" s="325"/>
      <c r="I732" s="325"/>
      <c r="J732" s="325"/>
      <c r="K732" s="339"/>
      <c r="L732" s="340"/>
      <c r="M732" s="340"/>
      <c r="N732" s="340"/>
      <c r="O732" s="340"/>
      <c r="P732" s="340"/>
      <c r="Q732" s="340"/>
      <c r="R732" s="340"/>
      <c r="S732" s="348"/>
      <c r="T732" s="348"/>
      <c r="U732" s="348"/>
      <c r="V732" s="340"/>
      <c r="W732" s="340"/>
      <c r="X732" s="340"/>
      <c r="Y732" s="340"/>
    </row>
    <row r="733" spans="1:25" ht="15" thickBot="1" x14ac:dyDescent="0.3">
      <c r="A733" s="325"/>
      <c r="B733" s="325"/>
      <c r="C733" s="325"/>
      <c r="D733" s="325"/>
      <c r="E733" s="325"/>
      <c r="F733" s="325"/>
      <c r="G733" s="325"/>
      <c r="H733" s="325"/>
      <c r="I733" s="325"/>
      <c r="J733" s="325"/>
      <c r="K733" s="339"/>
      <c r="L733" s="340"/>
      <c r="M733" s="340"/>
      <c r="N733" s="340"/>
      <c r="O733" s="340"/>
      <c r="P733" s="340"/>
      <c r="Q733" s="340"/>
      <c r="R733" s="340"/>
      <c r="S733" s="348"/>
      <c r="T733" s="348"/>
      <c r="U733" s="348"/>
      <c r="V733" s="340"/>
      <c r="W733" s="340"/>
      <c r="X733" s="340"/>
      <c r="Y733" s="340"/>
    </row>
    <row r="734" spans="1:25" ht="15" thickBot="1" x14ac:dyDescent="0.3">
      <c r="A734" s="325"/>
      <c r="B734" s="325"/>
      <c r="C734" s="325"/>
      <c r="D734" s="325"/>
      <c r="E734" s="325"/>
      <c r="F734" s="325"/>
      <c r="G734" s="325"/>
      <c r="H734" s="325"/>
      <c r="I734" s="325"/>
      <c r="J734" s="325"/>
      <c r="K734" s="339"/>
      <c r="L734" s="340"/>
      <c r="M734" s="340"/>
      <c r="N734" s="340"/>
      <c r="O734" s="340"/>
      <c r="P734" s="340"/>
      <c r="Q734" s="340"/>
      <c r="R734" s="340"/>
      <c r="S734" s="348"/>
      <c r="T734" s="348"/>
      <c r="U734" s="348"/>
      <c r="V734" s="340"/>
      <c r="W734" s="340"/>
      <c r="X734" s="340"/>
      <c r="Y734" s="340"/>
    </row>
    <row r="735" spans="1:25" ht="15" thickBot="1" x14ac:dyDescent="0.3">
      <c r="A735" s="325"/>
      <c r="B735" s="325"/>
      <c r="C735" s="325"/>
      <c r="D735" s="325"/>
      <c r="E735" s="325"/>
      <c r="F735" s="325"/>
      <c r="G735" s="325"/>
      <c r="H735" s="325"/>
      <c r="I735" s="325"/>
      <c r="J735" s="325"/>
      <c r="K735" s="339"/>
      <c r="L735" s="340"/>
      <c r="M735" s="340"/>
      <c r="N735" s="340"/>
      <c r="O735" s="340"/>
      <c r="P735" s="340"/>
      <c r="Q735" s="340"/>
      <c r="R735" s="340"/>
      <c r="S735" s="348"/>
      <c r="T735" s="348"/>
      <c r="U735" s="348"/>
      <c r="V735" s="340"/>
      <c r="W735" s="340"/>
      <c r="X735" s="340"/>
      <c r="Y735" s="340"/>
    </row>
    <row r="736" spans="1:25" ht="15" thickBot="1" x14ac:dyDescent="0.3">
      <c r="A736" s="325"/>
      <c r="B736" s="325"/>
      <c r="C736" s="325"/>
      <c r="D736" s="325"/>
      <c r="E736" s="325"/>
      <c r="F736" s="325"/>
      <c r="G736" s="325"/>
      <c r="H736" s="325"/>
      <c r="I736" s="325"/>
      <c r="J736" s="325"/>
      <c r="K736" s="339"/>
      <c r="L736" s="340"/>
      <c r="M736" s="340"/>
      <c r="N736" s="340"/>
      <c r="O736" s="340"/>
      <c r="P736" s="340"/>
      <c r="Q736" s="340"/>
      <c r="R736" s="340"/>
      <c r="S736" s="348"/>
      <c r="T736" s="348"/>
      <c r="U736" s="348"/>
      <c r="V736" s="340"/>
      <c r="W736" s="340"/>
      <c r="X736" s="340"/>
      <c r="Y736" s="340"/>
    </row>
    <row r="737" spans="1:25" ht="15" thickBot="1" x14ac:dyDescent="0.3">
      <c r="A737" s="325"/>
      <c r="B737" s="325"/>
      <c r="C737" s="325"/>
      <c r="D737" s="325"/>
      <c r="E737" s="325"/>
      <c r="F737" s="325"/>
      <c r="G737" s="325"/>
      <c r="H737" s="325"/>
      <c r="I737" s="325"/>
      <c r="J737" s="325"/>
      <c r="K737" s="339"/>
      <c r="L737" s="340"/>
      <c r="M737" s="340"/>
      <c r="N737" s="340"/>
      <c r="O737" s="340"/>
      <c r="P737" s="340"/>
      <c r="Q737" s="340"/>
      <c r="R737" s="340"/>
      <c r="S737" s="348"/>
      <c r="T737" s="348"/>
      <c r="U737" s="348"/>
      <c r="V737" s="340"/>
      <c r="W737" s="340"/>
      <c r="X737" s="340"/>
      <c r="Y737" s="340"/>
    </row>
    <row r="738" spans="1:25" ht="15" thickBot="1" x14ac:dyDescent="0.3">
      <c r="A738" s="325"/>
      <c r="B738" s="325"/>
      <c r="C738" s="325"/>
      <c r="D738" s="325"/>
      <c r="E738" s="325"/>
      <c r="F738" s="325"/>
      <c r="G738" s="325"/>
      <c r="H738" s="325"/>
      <c r="I738" s="325"/>
      <c r="J738" s="325"/>
      <c r="K738" s="339"/>
      <c r="L738" s="340"/>
      <c r="M738" s="340"/>
      <c r="N738" s="340"/>
      <c r="O738" s="340"/>
      <c r="P738" s="340"/>
      <c r="Q738" s="340"/>
      <c r="R738" s="340"/>
      <c r="S738" s="348"/>
      <c r="T738" s="348"/>
      <c r="U738" s="348"/>
      <c r="V738" s="340"/>
      <c r="W738" s="340"/>
      <c r="X738" s="340"/>
      <c r="Y738" s="340"/>
    </row>
    <row r="739" spans="1:25" ht="15" thickBot="1" x14ac:dyDescent="0.3">
      <c r="A739" s="325"/>
      <c r="B739" s="325"/>
      <c r="C739" s="325"/>
      <c r="D739" s="325"/>
      <c r="E739" s="325"/>
      <c r="F739" s="325"/>
      <c r="G739" s="325"/>
      <c r="H739" s="325"/>
      <c r="I739" s="325"/>
      <c r="J739" s="325"/>
      <c r="K739" s="339"/>
      <c r="L739" s="340"/>
      <c r="M739" s="340"/>
      <c r="N739" s="340"/>
      <c r="O739" s="340"/>
      <c r="P739" s="340"/>
      <c r="Q739" s="340"/>
      <c r="R739" s="340"/>
      <c r="S739" s="348"/>
      <c r="T739" s="348"/>
      <c r="U739" s="348"/>
      <c r="V739" s="340"/>
      <c r="W739" s="340"/>
      <c r="X739" s="340"/>
      <c r="Y739" s="340"/>
    </row>
    <row r="740" spans="1:25" ht="15" thickBot="1" x14ac:dyDescent="0.3">
      <c r="A740" s="325"/>
      <c r="B740" s="325"/>
      <c r="C740" s="325"/>
      <c r="D740" s="325"/>
      <c r="E740" s="325"/>
      <c r="F740" s="325"/>
      <c r="G740" s="325"/>
      <c r="H740" s="325"/>
      <c r="I740" s="325"/>
      <c r="J740" s="325"/>
      <c r="K740" s="339"/>
      <c r="L740" s="340"/>
      <c r="M740" s="340"/>
      <c r="N740" s="340"/>
      <c r="O740" s="340"/>
      <c r="P740" s="340"/>
      <c r="Q740" s="340"/>
      <c r="R740" s="340"/>
      <c r="S740" s="348"/>
      <c r="T740" s="348"/>
      <c r="U740" s="348"/>
      <c r="V740" s="340"/>
      <c r="W740" s="340"/>
      <c r="X740" s="340"/>
      <c r="Y740" s="340"/>
    </row>
    <row r="741" spans="1:25" ht="15" thickBot="1" x14ac:dyDescent="0.3">
      <c r="A741" s="325"/>
      <c r="B741" s="325"/>
      <c r="C741" s="325"/>
      <c r="D741" s="325"/>
      <c r="E741" s="325"/>
      <c r="F741" s="325"/>
      <c r="G741" s="325"/>
      <c r="H741" s="325"/>
      <c r="I741" s="325"/>
      <c r="J741" s="325"/>
      <c r="K741" s="339"/>
      <c r="L741" s="340"/>
      <c r="M741" s="340"/>
      <c r="N741" s="340"/>
      <c r="O741" s="340"/>
      <c r="P741" s="340"/>
      <c r="Q741" s="340"/>
      <c r="R741" s="340"/>
      <c r="S741" s="348"/>
      <c r="T741" s="348"/>
      <c r="U741" s="348"/>
      <c r="V741" s="340"/>
      <c r="W741" s="340"/>
      <c r="X741" s="340"/>
      <c r="Y741" s="340"/>
    </row>
    <row r="742" spans="1:25" ht="15" thickBot="1" x14ac:dyDescent="0.3">
      <c r="A742" s="325"/>
      <c r="B742" s="325"/>
      <c r="C742" s="325"/>
      <c r="D742" s="325"/>
      <c r="E742" s="325"/>
      <c r="F742" s="325"/>
      <c r="G742" s="325"/>
      <c r="H742" s="325"/>
      <c r="I742" s="325"/>
      <c r="J742" s="325"/>
      <c r="K742" s="339"/>
      <c r="L742" s="340"/>
      <c r="M742" s="340"/>
      <c r="N742" s="340"/>
      <c r="O742" s="340"/>
      <c r="P742" s="340"/>
      <c r="Q742" s="340"/>
      <c r="R742" s="340"/>
      <c r="S742" s="348"/>
      <c r="T742" s="348"/>
      <c r="U742" s="348"/>
      <c r="V742" s="340"/>
      <c r="W742" s="340"/>
      <c r="X742" s="340"/>
      <c r="Y742" s="340"/>
    </row>
    <row r="743" spans="1:25" ht="15" thickBot="1" x14ac:dyDescent="0.3">
      <c r="A743" s="325"/>
      <c r="B743" s="325"/>
      <c r="C743" s="325"/>
      <c r="D743" s="325"/>
      <c r="E743" s="325"/>
      <c r="F743" s="325"/>
      <c r="G743" s="325"/>
      <c r="H743" s="325"/>
      <c r="I743" s="325"/>
      <c r="J743" s="325"/>
      <c r="K743" s="339"/>
      <c r="L743" s="340"/>
      <c r="M743" s="340"/>
      <c r="N743" s="340"/>
      <c r="O743" s="340"/>
      <c r="P743" s="340"/>
      <c r="Q743" s="340"/>
      <c r="R743" s="340"/>
      <c r="S743" s="348"/>
      <c r="T743" s="348"/>
      <c r="U743" s="348"/>
      <c r="V743" s="340"/>
      <c r="W743" s="340"/>
      <c r="X743" s="340"/>
      <c r="Y743" s="340"/>
    </row>
    <row r="744" spans="1:25" ht="15" thickBot="1" x14ac:dyDescent="0.3">
      <c r="A744" s="325"/>
      <c r="B744" s="325"/>
      <c r="C744" s="325"/>
      <c r="D744" s="325"/>
      <c r="E744" s="325"/>
      <c r="F744" s="325"/>
      <c r="G744" s="325"/>
      <c r="H744" s="325"/>
      <c r="I744" s="325"/>
      <c r="J744" s="325"/>
      <c r="K744" s="339"/>
      <c r="L744" s="340"/>
      <c r="M744" s="340"/>
      <c r="N744" s="340"/>
      <c r="O744" s="340"/>
      <c r="P744" s="340"/>
      <c r="Q744" s="340"/>
      <c r="R744" s="340"/>
      <c r="S744" s="348"/>
      <c r="T744" s="348"/>
      <c r="U744" s="348"/>
      <c r="V744" s="340"/>
      <c r="W744" s="340"/>
      <c r="X744" s="340"/>
      <c r="Y744" s="340"/>
    </row>
    <row r="745" spans="1:25" ht="15" thickBot="1" x14ac:dyDescent="0.3">
      <c r="A745" s="325"/>
      <c r="B745" s="325"/>
      <c r="C745" s="325"/>
      <c r="D745" s="325"/>
      <c r="E745" s="325"/>
      <c r="F745" s="325"/>
      <c r="G745" s="325"/>
      <c r="H745" s="325"/>
      <c r="I745" s="325"/>
      <c r="J745" s="325"/>
      <c r="K745" s="339"/>
      <c r="L745" s="340"/>
      <c r="M745" s="340"/>
      <c r="N745" s="340"/>
      <c r="O745" s="340"/>
      <c r="P745" s="340"/>
      <c r="Q745" s="340"/>
      <c r="R745" s="340"/>
      <c r="S745" s="348"/>
      <c r="T745" s="348"/>
      <c r="U745" s="348"/>
      <c r="V745" s="340"/>
      <c r="W745" s="340"/>
      <c r="X745" s="340"/>
      <c r="Y745" s="340"/>
    </row>
    <row r="746" spans="1:25" ht="15" thickBot="1" x14ac:dyDescent="0.3">
      <c r="A746" s="325"/>
      <c r="B746" s="325"/>
      <c r="C746" s="325"/>
      <c r="D746" s="325"/>
      <c r="E746" s="325"/>
      <c r="F746" s="325"/>
      <c r="G746" s="325"/>
      <c r="H746" s="325"/>
      <c r="I746" s="325"/>
      <c r="J746" s="325"/>
      <c r="K746" s="339"/>
      <c r="L746" s="340"/>
      <c r="M746" s="340"/>
      <c r="N746" s="340"/>
      <c r="O746" s="340"/>
      <c r="P746" s="340"/>
      <c r="Q746" s="340"/>
      <c r="R746" s="340"/>
      <c r="S746" s="348"/>
      <c r="T746" s="348"/>
      <c r="U746" s="348"/>
      <c r="V746" s="340"/>
      <c r="W746" s="340"/>
      <c r="X746" s="340"/>
      <c r="Y746" s="340"/>
    </row>
    <row r="747" spans="1:25" ht="15" thickBot="1" x14ac:dyDescent="0.3">
      <c r="A747" s="325"/>
      <c r="B747" s="325"/>
      <c r="C747" s="325"/>
      <c r="D747" s="325"/>
      <c r="E747" s="325"/>
      <c r="F747" s="325"/>
      <c r="G747" s="325"/>
      <c r="H747" s="325"/>
      <c r="I747" s="325"/>
      <c r="J747" s="325"/>
      <c r="K747" s="339"/>
      <c r="L747" s="340"/>
      <c r="M747" s="340"/>
      <c r="N747" s="340"/>
      <c r="O747" s="340"/>
      <c r="P747" s="340"/>
      <c r="Q747" s="340"/>
      <c r="R747" s="340"/>
      <c r="S747" s="348"/>
      <c r="T747" s="348"/>
      <c r="U747" s="348"/>
      <c r="V747" s="340"/>
      <c r="W747" s="340"/>
      <c r="X747" s="340"/>
      <c r="Y747" s="340"/>
    </row>
    <row r="748" spans="1:25" ht="15" thickBot="1" x14ac:dyDescent="0.3">
      <c r="A748" s="325"/>
      <c r="B748" s="325"/>
      <c r="C748" s="325"/>
      <c r="D748" s="325"/>
      <c r="E748" s="325"/>
      <c r="F748" s="325"/>
      <c r="G748" s="325"/>
      <c r="H748" s="325"/>
      <c r="I748" s="325"/>
      <c r="J748" s="325"/>
      <c r="K748" s="339"/>
      <c r="L748" s="340"/>
      <c r="M748" s="340"/>
      <c r="N748" s="340"/>
      <c r="O748" s="340"/>
      <c r="P748" s="340"/>
      <c r="Q748" s="340"/>
      <c r="R748" s="340"/>
      <c r="S748" s="348"/>
      <c r="T748" s="348"/>
      <c r="U748" s="348"/>
      <c r="V748" s="340"/>
      <c r="W748" s="340"/>
      <c r="X748" s="340"/>
      <c r="Y748" s="340"/>
    </row>
    <row r="749" spans="1:25" ht="15" thickBot="1" x14ac:dyDescent="0.3">
      <c r="A749" s="325"/>
      <c r="B749" s="325"/>
      <c r="C749" s="325"/>
      <c r="D749" s="325"/>
      <c r="E749" s="325"/>
      <c r="F749" s="325"/>
      <c r="G749" s="325"/>
      <c r="H749" s="325"/>
      <c r="I749" s="325"/>
      <c r="J749" s="325"/>
      <c r="K749" s="339"/>
      <c r="L749" s="340"/>
      <c r="M749" s="340"/>
      <c r="N749" s="340"/>
      <c r="O749" s="340"/>
      <c r="P749" s="340"/>
      <c r="Q749" s="340"/>
      <c r="R749" s="340"/>
      <c r="S749" s="348"/>
      <c r="T749" s="348"/>
      <c r="U749" s="348"/>
      <c r="V749" s="340"/>
      <c r="W749" s="340"/>
      <c r="X749" s="340"/>
      <c r="Y749" s="340"/>
    </row>
    <row r="750" spans="1:25" ht="15" thickBot="1" x14ac:dyDescent="0.3">
      <c r="A750" s="325"/>
      <c r="B750" s="325"/>
      <c r="C750" s="325"/>
      <c r="D750" s="325"/>
      <c r="E750" s="325"/>
      <c r="F750" s="325"/>
      <c r="G750" s="325"/>
      <c r="H750" s="325"/>
      <c r="I750" s="325"/>
      <c r="J750" s="325"/>
      <c r="K750" s="339"/>
      <c r="L750" s="340"/>
      <c r="M750" s="340"/>
      <c r="N750" s="340"/>
      <c r="O750" s="340"/>
      <c r="P750" s="340"/>
      <c r="Q750" s="340"/>
      <c r="R750" s="340"/>
      <c r="S750" s="348"/>
      <c r="T750" s="348"/>
      <c r="U750" s="348"/>
      <c r="V750" s="340"/>
      <c r="W750" s="340"/>
      <c r="X750" s="340"/>
      <c r="Y750" s="340"/>
    </row>
    <row r="751" spans="1:25" ht="15" thickBot="1" x14ac:dyDescent="0.3">
      <c r="A751" s="325"/>
      <c r="B751" s="325"/>
      <c r="C751" s="325"/>
      <c r="D751" s="325"/>
      <c r="E751" s="325"/>
      <c r="F751" s="325"/>
      <c r="G751" s="325"/>
      <c r="H751" s="325"/>
      <c r="I751" s="325"/>
      <c r="J751" s="325"/>
      <c r="K751" s="339"/>
      <c r="L751" s="340"/>
      <c r="M751" s="340"/>
      <c r="N751" s="340"/>
      <c r="O751" s="340"/>
      <c r="P751" s="340"/>
      <c r="Q751" s="340"/>
      <c r="R751" s="340"/>
      <c r="S751" s="348"/>
      <c r="T751" s="348"/>
      <c r="U751" s="348"/>
      <c r="V751" s="340"/>
      <c r="W751" s="340"/>
      <c r="X751" s="340"/>
      <c r="Y751" s="340"/>
    </row>
    <row r="752" spans="1:25" ht="15" thickBot="1" x14ac:dyDescent="0.3">
      <c r="A752" s="325"/>
      <c r="B752" s="325"/>
      <c r="C752" s="325"/>
      <c r="D752" s="325"/>
      <c r="E752" s="325"/>
      <c r="F752" s="325"/>
      <c r="G752" s="325"/>
      <c r="H752" s="325"/>
      <c r="I752" s="325"/>
      <c r="J752" s="325"/>
      <c r="K752" s="339"/>
      <c r="L752" s="340"/>
      <c r="M752" s="340"/>
      <c r="N752" s="340"/>
      <c r="O752" s="340"/>
      <c r="P752" s="340"/>
      <c r="Q752" s="340"/>
      <c r="R752" s="340"/>
      <c r="S752" s="348"/>
      <c r="T752" s="348"/>
      <c r="U752" s="348"/>
      <c r="V752" s="340"/>
      <c r="W752" s="340"/>
      <c r="X752" s="340"/>
      <c r="Y752" s="340"/>
    </row>
    <row r="753" spans="1:25" ht="15" thickBot="1" x14ac:dyDescent="0.3">
      <c r="A753" s="325"/>
      <c r="B753" s="325"/>
      <c r="C753" s="325"/>
      <c r="D753" s="325"/>
      <c r="E753" s="325"/>
      <c r="F753" s="325"/>
      <c r="G753" s="325"/>
      <c r="H753" s="325"/>
      <c r="I753" s="325"/>
      <c r="J753" s="325"/>
      <c r="K753" s="339"/>
      <c r="L753" s="340"/>
      <c r="M753" s="340"/>
      <c r="N753" s="340"/>
      <c r="O753" s="340"/>
      <c r="P753" s="340"/>
      <c r="Q753" s="340"/>
      <c r="R753" s="340"/>
      <c r="S753" s="348"/>
      <c r="T753" s="348"/>
      <c r="U753" s="348"/>
      <c r="V753" s="340"/>
      <c r="W753" s="340"/>
      <c r="X753" s="340"/>
      <c r="Y753" s="340"/>
    </row>
    <row r="754" spans="1:25" ht="15" thickBot="1" x14ac:dyDescent="0.3">
      <c r="A754" s="325"/>
      <c r="B754" s="325"/>
      <c r="C754" s="325"/>
      <c r="D754" s="325"/>
      <c r="E754" s="325"/>
      <c r="F754" s="325"/>
      <c r="G754" s="325"/>
      <c r="H754" s="325"/>
      <c r="I754" s="325"/>
      <c r="J754" s="325"/>
      <c r="K754" s="339"/>
      <c r="L754" s="340"/>
      <c r="M754" s="340"/>
      <c r="N754" s="340"/>
      <c r="O754" s="340"/>
      <c r="P754" s="340"/>
      <c r="Q754" s="340"/>
      <c r="R754" s="340"/>
      <c r="S754" s="348"/>
      <c r="T754" s="348"/>
      <c r="U754" s="348"/>
      <c r="V754" s="340"/>
      <c r="W754" s="340"/>
      <c r="X754" s="340"/>
      <c r="Y754" s="340"/>
    </row>
    <row r="755" spans="1:25" ht="15" thickBot="1" x14ac:dyDescent="0.3">
      <c r="A755" s="325"/>
      <c r="B755" s="325"/>
      <c r="C755" s="325"/>
      <c r="D755" s="325"/>
      <c r="E755" s="325"/>
      <c r="F755" s="325"/>
      <c r="G755" s="325"/>
      <c r="H755" s="325"/>
      <c r="I755" s="325"/>
      <c r="J755" s="325"/>
      <c r="K755" s="339"/>
      <c r="L755" s="340"/>
      <c r="M755" s="340"/>
      <c r="N755" s="340"/>
      <c r="O755" s="340"/>
      <c r="P755" s="340"/>
      <c r="Q755" s="340"/>
      <c r="R755" s="340"/>
      <c r="S755" s="348"/>
      <c r="T755" s="348"/>
      <c r="U755" s="348"/>
      <c r="V755" s="340"/>
      <c r="W755" s="340"/>
      <c r="X755" s="340"/>
      <c r="Y755" s="340"/>
    </row>
    <row r="756" spans="1:25" ht="15" thickBot="1" x14ac:dyDescent="0.3">
      <c r="A756" s="325"/>
      <c r="B756" s="325"/>
      <c r="C756" s="325"/>
      <c r="D756" s="325"/>
      <c r="E756" s="325"/>
      <c r="F756" s="325"/>
      <c r="G756" s="325"/>
      <c r="H756" s="325"/>
      <c r="I756" s="325"/>
      <c r="J756" s="325"/>
      <c r="K756" s="339"/>
      <c r="L756" s="340"/>
      <c r="M756" s="340"/>
      <c r="N756" s="340"/>
      <c r="O756" s="340"/>
      <c r="P756" s="340"/>
      <c r="Q756" s="340"/>
      <c r="R756" s="340"/>
      <c r="S756" s="348"/>
      <c r="T756" s="348"/>
      <c r="U756" s="348"/>
      <c r="V756" s="340"/>
      <c r="W756" s="340"/>
      <c r="X756" s="340"/>
      <c r="Y756" s="340"/>
    </row>
    <row r="757" spans="1:25" ht="15" thickBot="1" x14ac:dyDescent="0.3">
      <c r="A757" s="325"/>
      <c r="B757" s="325"/>
      <c r="C757" s="325"/>
      <c r="D757" s="325"/>
      <c r="E757" s="325"/>
      <c r="F757" s="325"/>
      <c r="G757" s="325"/>
      <c r="H757" s="325"/>
      <c r="I757" s="325"/>
      <c r="J757" s="325"/>
      <c r="K757" s="339"/>
      <c r="L757" s="340"/>
      <c r="M757" s="340"/>
      <c r="N757" s="340"/>
      <c r="O757" s="340"/>
      <c r="P757" s="340"/>
      <c r="Q757" s="340"/>
      <c r="R757" s="340"/>
      <c r="S757" s="348"/>
      <c r="T757" s="348"/>
      <c r="U757" s="348"/>
      <c r="V757" s="340"/>
      <c r="W757" s="340"/>
      <c r="X757" s="340"/>
      <c r="Y757" s="340"/>
    </row>
    <row r="758" spans="1:25" ht="15" thickBot="1" x14ac:dyDescent="0.3">
      <c r="A758" s="325"/>
      <c r="B758" s="325"/>
      <c r="C758" s="325"/>
      <c r="D758" s="325"/>
      <c r="E758" s="325"/>
      <c r="F758" s="325"/>
      <c r="G758" s="325"/>
      <c r="H758" s="325"/>
      <c r="I758" s="325"/>
      <c r="J758" s="325"/>
      <c r="K758" s="339"/>
      <c r="L758" s="340"/>
      <c r="M758" s="340"/>
      <c r="N758" s="340"/>
      <c r="O758" s="340"/>
      <c r="P758" s="340"/>
      <c r="Q758" s="340"/>
      <c r="R758" s="340"/>
      <c r="S758" s="348"/>
      <c r="T758" s="348"/>
      <c r="U758" s="348"/>
      <c r="V758" s="340"/>
      <c r="W758" s="340"/>
      <c r="X758" s="340"/>
      <c r="Y758" s="340"/>
    </row>
    <row r="759" spans="1:25" ht="15" thickBot="1" x14ac:dyDescent="0.3">
      <c r="A759" s="325"/>
      <c r="B759" s="325"/>
      <c r="C759" s="325"/>
      <c r="D759" s="325"/>
      <c r="E759" s="325"/>
      <c r="F759" s="325"/>
      <c r="G759" s="325"/>
      <c r="H759" s="325"/>
      <c r="I759" s="325"/>
      <c r="J759" s="325"/>
      <c r="K759" s="339"/>
      <c r="L759" s="340"/>
      <c r="M759" s="340"/>
      <c r="N759" s="340"/>
      <c r="O759" s="340"/>
      <c r="P759" s="340"/>
      <c r="Q759" s="340"/>
      <c r="R759" s="340"/>
      <c r="S759" s="348"/>
      <c r="T759" s="348"/>
      <c r="U759" s="348"/>
      <c r="V759" s="340"/>
      <c r="W759" s="340"/>
      <c r="X759" s="340"/>
      <c r="Y759" s="340"/>
    </row>
    <row r="760" spans="1:25" ht="15" thickBot="1" x14ac:dyDescent="0.3">
      <c r="A760" s="325"/>
      <c r="B760" s="325"/>
      <c r="C760" s="325"/>
      <c r="D760" s="325"/>
      <c r="E760" s="325"/>
      <c r="F760" s="325"/>
      <c r="G760" s="325"/>
      <c r="H760" s="325"/>
      <c r="I760" s="325"/>
      <c r="J760" s="325"/>
      <c r="K760" s="339"/>
      <c r="L760" s="340"/>
      <c r="M760" s="340"/>
      <c r="N760" s="340"/>
      <c r="O760" s="340"/>
      <c r="P760" s="340"/>
      <c r="Q760" s="340"/>
      <c r="R760" s="340"/>
      <c r="S760" s="348"/>
      <c r="T760" s="348"/>
      <c r="U760" s="348"/>
      <c r="V760" s="340"/>
      <c r="W760" s="340"/>
      <c r="X760" s="340"/>
      <c r="Y760" s="340"/>
    </row>
    <row r="761" spans="1:25" ht="15" thickBot="1" x14ac:dyDescent="0.3">
      <c r="A761" s="325"/>
      <c r="B761" s="325"/>
      <c r="C761" s="325"/>
      <c r="D761" s="325"/>
      <c r="E761" s="325"/>
      <c r="F761" s="325"/>
      <c r="G761" s="325"/>
      <c r="H761" s="325"/>
      <c r="I761" s="325"/>
      <c r="J761" s="325"/>
      <c r="K761" s="339"/>
      <c r="L761" s="340"/>
      <c r="M761" s="340"/>
      <c r="N761" s="340"/>
      <c r="O761" s="340"/>
      <c r="P761" s="340"/>
      <c r="Q761" s="340"/>
      <c r="R761" s="340"/>
      <c r="S761" s="348"/>
      <c r="T761" s="348"/>
      <c r="U761" s="348"/>
      <c r="V761" s="340"/>
      <c r="W761" s="340"/>
      <c r="X761" s="340"/>
      <c r="Y761" s="340"/>
    </row>
    <row r="762" spans="1:25" ht="15" thickBot="1" x14ac:dyDescent="0.3">
      <c r="A762" s="325"/>
      <c r="B762" s="325"/>
      <c r="C762" s="325"/>
      <c r="D762" s="325"/>
      <c r="E762" s="325"/>
      <c r="F762" s="325"/>
      <c r="G762" s="325"/>
      <c r="H762" s="325"/>
      <c r="I762" s="325"/>
      <c r="J762" s="325"/>
      <c r="K762" s="339"/>
      <c r="L762" s="340"/>
      <c r="M762" s="340"/>
      <c r="N762" s="340"/>
      <c r="O762" s="340"/>
      <c r="P762" s="340"/>
      <c r="Q762" s="340"/>
      <c r="R762" s="340"/>
      <c r="S762" s="348"/>
      <c r="T762" s="348"/>
      <c r="U762" s="348"/>
      <c r="V762" s="340"/>
      <c r="W762" s="340"/>
      <c r="X762" s="340"/>
      <c r="Y762" s="340"/>
    </row>
    <row r="763" spans="1:25" ht="15" thickBot="1" x14ac:dyDescent="0.3">
      <c r="A763" s="325"/>
      <c r="B763" s="325"/>
      <c r="C763" s="325"/>
      <c r="D763" s="325"/>
      <c r="E763" s="325"/>
      <c r="F763" s="325"/>
      <c r="G763" s="325"/>
      <c r="H763" s="325"/>
      <c r="I763" s="325"/>
      <c r="J763" s="325"/>
      <c r="K763" s="339"/>
      <c r="L763" s="340"/>
      <c r="M763" s="340"/>
      <c r="N763" s="340"/>
      <c r="O763" s="340"/>
      <c r="P763" s="340"/>
      <c r="Q763" s="340"/>
      <c r="R763" s="340"/>
      <c r="S763" s="348"/>
      <c r="T763" s="348"/>
      <c r="U763" s="348"/>
      <c r="V763" s="340"/>
      <c r="W763" s="340"/>
      <c r="X763" s="340"/>
      <c r="Y763" s="340"/>
    </row>
    <row r="764" spans="1:25" ht="15" thickBot="1" x14ac:dyDescent="0.3">
      <c r="A764" s="325"/>
      <c r="B764" s="325"/>
      <c r="C764" s="325"/>
      <c r="D764" s="325"/>
      <c r="E764" s="325"/>
      <c r="F764" s="325"/>
      <c r="G764" s="325"/>
      <c r="H764" s="325"/>
      <c r="I764" s="325"/>
      <c r="J764" s="325"/>
      <c r="K764" s="339"/>
      <c r="L764" s="340"/>
      <c r="M764" s="340"/>
      <c r="N764" s="340"/>
      <c r="O764" s="340"/>
      <c r="P764" s="340"/>
      <c r="Q764" s="340"/>
      <c r="R764" s="340"/>
      <c r="S764" s="348"/>
      <c r="T764" s="348"/>
      <c r="U764" s="348"/>
      <c r="V764" s="340"/>
      <c r="W764" s="340"/>
      <c r="X764" s="340"/>
      <c r="Y764" s="340"/>
    </row>
    <row r="765" spans="1:25" ht="15" thickBot="1" x14ac:dyDescent="0.3">
      <c r="A765" s="325"/>
      <c r="B765" s="325"/>
      <c r="C765" s="325"/>
      <c r="D765" s="325"/>
      <c r="E765" s="325"/>
      <c r="F765" s="325"/>
      <c r="G765" s="325"/>
      <c r="H765" s="325"/>
      <c r="I765" s="325"/>
      <c r="J765" s="325"/>
      <c r="K765" s="339"/>
      <c r="L765" s="340"/>
      <c r="M765" s="340"/>
      <c r="N765" s="340"/>
      <c r="O765" s="340"/>
      <c r="P765" s="340"/>
      <c r="Q765" s="340"/>
      <c r="R765" s="340"/>
      <c r="S765" s="348"/>
      <c r="T765" s="348"/>
      <c r="U765" s="348"/>
      <c r="V765" s="340"/>
      <c r="W765" s="340"/>
      <c r="X765" s="340"/>
      <c r="Y765" s="340"/>
    </row>
    <row r="766" spans="1:25" ht="15" thickBot="1" x14ac:dyDescent="0.3">
      <c r="A766" s="325"/>
      <c r="B766" s="325"/>
      <c r="C766" s="325"/>
      <c r="D766" s="325"/>
      <c r="E766" s="325"/>
      <c r="F766" s="325"/>
      <c r="G766" s="325"/>
      <c r="H766" s="325"/>
      <c r="I766" s="325"/>
      <c r="J766" s="325"/>
      <c r="K766" s="339"/>
      <c r="L766" s="340"/>
      <c r="M766" s="340"/>
      <c r="N766" s="340"/>
      <c r="O766" s="340"/>
      <c r="P766" s="340"/>
      <c r="Q766" s="340"/>
      <c r="R766" s="340"/>
      <c r="S766" s="348"/>
      <c r="T766" s="348"/>
      <c r="U766" s="348"/>
      <c r="V766" s="340"/>
      <c r="W766" s="340"/>
      <c r="X766" s="340"/>
      <c r="Y766" s="340"/>
    </row>
    <row r="767" spans="1:25" ht="15" thickBot="1" x14ac:dyDescent="0.3">
      <c r="A767" s="325"/>
      <c r="B767" s="325"/>
      <c r="C767" s="325"/>
      <c r="D767" s="325"/>
      <c r="E767" s="325"/>
      <c r="F767" s="325"/>
      <c r="G767" s="325"/>
      <c r="H767" s="325"/>
      <c r="I767" s="325"/>
      <c r="J767" s="325"/>
      <c r="K767" s="339"/>
      <c r="L767" s="340"/>
      <c r="M767" s="340"/>
      <c r="N767" s="340"/>
      <c r="O767" s="340"/>
      <c r="P767" s="340"/>
      <c r="Q767" s="340"/>
      <c r="R767" s="340"/>
      <c r="S767" s="348"/>
      <c r="T767" s="348"/>
      <c r="U767" s="348"/>
      <c r="V767" s="340"/>
      <c r="W767" s="340"/>
      <c r="X767" s="340"/>
      <c r="Y767" s="340"/>
    </row>
    <row r="768" spans="1:25" ht="15" thickBot="1" x14ac:dyDescent="0.3">
      <c r="A768" s="325"/>
      <c r="B768" s="325"/>
      <c r="C768" s="325"/>
      <c r="D768" s="325"/>
      <c r="E768" s="325"/>
      <c r="F768" s="325"/>
      <c r="G768" s="325"/>
      <c r="H768" s="325"/>
      <c r="I768" s="325"/>
      <c r="J768" s="325"/>
      <c r="K768" s="339"/>
      <c r="L768" s="340"/>
      <c r="M768" s="340"/>
      <c r="N768" s="340"/>
      <c r="O768" s="340"/>
      <c r="P768" s="340"/>
      <c r="Q768" s="340"/>
      <c r="R768" s="340"/>
      <c r="S768" s="348"/>
      <c r="T768" s="348"/>
      <c r="U768" s="348"/>
      <c r="V768" s="340"/>
      <c r="W768" s="340"/>
      <c r="X768" s="340"/>
      <c r="Y768" s="340"/>
    </row>
    <row r="769" spans="1:25" ht="15" thickBot="1" x14ac:dyDescent="0.3">
      <c r="A769" s="325"/>
      <c r="B769" s="325"/>
      <c r="C769" s="325"/>
      <c r="D769" s="325"/>
      <c r="E769" s="325"/>
      <c r="F769" s="325"/>
      <c r="G769" s="325"/>
      <c r="H769" s="325"/>
      <c r="I769" s="325"/>
      <c r="J769" s="325"/>
      <c r="K769" s="339"/>
      <c r="L769" s="340"/>
      <c r="M769" s="340"/>
      <c r="N769" s="340"/>
      <c r="O769" s="340"/>
      <c r="P769" s="340"/>
      <c r="Q769" s="340"/>
      <c r="R769" s="340"/>
      <c r="S769" s="348"/>
      <c r="T769" s="348"/>
      <c r="U769" s="348"/>
      <c r="V769" s="340"/>
      <c r="W769" s="340"/>
      <c r="X769" s="340"/>
      <c r="Y769" s="340"/>
    </row>
    <row r="770" spans="1:25" ht="15" thickBot="1" x14ac:dyDescent="0.3">
      <c r="A770" s="325"/>
      <c r="B770" s="325"/>
      <c r="C770" s="325"/>
      <c r="D770" s="325"/>
      <c r="E770" s="325"/>
      <c r="F770" s="325"/>
      <c r="G770" s="325"/>
      <c r="H770" s="325"/>
      <c r="I770" s="325"/>
      <c r="J770" s="325"/>
      <c r="K770" s="339"/>
      <c r="L770" s="340"/>
      <c r="M770" s="340"/>
      <c r="N770" s="340"/>
      <c r="O770" s="340"/>
      <c r="P770" s="340"/>
      <c r="Q770" s="340"/>
      <c r="R770" s="340"/>
      <c r="S770" s="348"/>
      <c r="T770" s="348"/>
      <c r="U770" s="348"/>
      <c r="V770" s="340"/>
      <c r="W770" s="340"/>
      <c r="X770" s="340"/>
      <c r="Y770" s="340"/>
    </row>
    <row r="771" spans="1:25" ht="15" thickBot="1" x14ac:dyDescent="0.3">
      <c r="A771" s="325"/>
      <c r="B771" s="325"/>
      <c r="C771" s="325"/>
      <c r="D771" s="325"/>
      <c r="E771" s="325"/>
      <c r="F771" s="325"/>
      <c r="G771" s="325"/>
      <c r="H771" s="325"/>
      <c r="I771" s="325"/>
      <c r="J771" s="325"/>
      <c r="K771" s="339"/>
      <c r="L771" s="340"/>
      <c r="M771" s="340"/>
      <c r="N771" s="340"/>
      <c r="O771" s="340"/>
      <c r="P771" s="340"/>
      <c r="Q771" s="340"/>
      <c r="R771" s="340"/>
      <c r="S771" s="348"/>
      <c r="T771" s="348"/>
      <c r="U771" s="348"/>
      <c r="V771" s="340"/>
      <c r="W771" s="340"/>
      <c r="X771" s="340"/>
      <c r="Y771" s="340"/>
    </row>
    <row r="772" spans="1:25" ht="15" thickBot="1" x14ac:dyDescent="0.3">
      <c r="A772" s="325"/>
      <c r="B772" s="325"/>
      <c r="C772" s="325"/>
      <c r="D772" s="325"/>
      <c r="E772" s="325"/>
      <c r="F772" s="325"/>
      <c r="G772" s="325"/>
      <c r="H772" s="325"/>
      <c r="I772" s="325"/>
      <c r="J772" s="325"/>
      <c r="K772" s="339"/>
      <c r="L772" s="340"/>
      <c r="M772" s="340"/>
      <c r="N772" s="340"/>
      <c r="O772" s="340"/>
      <c r="P772" s="340"/>
      <c r="Q772" s="340"/>
      <c r="R772" s="340"/>
      <c r="S772" s="348"/>
      <c r="T772" s="348"/>
      <c r="U772" s="348"/>
      <c r="V772" s="340"/>
      <c r="W772" s="340"/>
      <c r="X772" s="340"/>
      <c r="Y772" s="340"/>
    </row>
    <row r="773" spans="1:25" ht="15" thickBot="1" x14ac:dyDescent="0.3">
      <c r="A773" s="325"/>
      <c r="B773" s="325"/>
      <c r="C773" s="325"/>
      <c r="D773" s="325"/>
      <c r="E773" s="325"/>
      <c r="F773" s="325"/>
      <c r="G773" s="325"/>
      <c r="H773" s="325"/>
      <c r="I773" s="325"/>
      <c r="J773" s="325"/>
      <c r="K773" s="339"/>
      <c r="L773" s="340"/>
      <c r="M773" s="340"/>
      <c r="N773" s="340"/>
      <c r="O773" s="340"/>
      <c r="P773" s="340"/>
      <c r="Q773" s="340"/>
      <c r="R773" s="340"/>
      <c r="S773" s="348"/>
      <c r="T773" s="348"/>
      <c r="U773" s="348"/>
      <c r="V773" s="340"/>
      <c r="W773" s="340"/>
      <c r="X773" s="340"/>
      <c r="Y773" s="340"/>
    </row>
    <row r="774" spans="1:25" ht="15" thickBot="1" x14ac:dyDescent="0.3">
      <c r="A774" s="325"/>
      <c r="B774" s="325"/>
      <c r="C774" s="325"/>
      <c r="D774" s="325"/>
      <c r="E774" s="325"/>
      <c r="F774" s="325"/>
      <c r="G774" s="325"/>
      <c r="H774" s="325"/>
      <c r="I774" s="325"/>
      <c r="J774" s="325"/>
      <c r="K774" s="339"/>
      <c r="L774" s="340"/>
      <c r="M774" s="340"/>
      <c r="N774" s="340"/>
      <c r="O774" s="340"/>
      <c r="P774" s="340"/>
      <c r="Q774" s="340"/>
      <c r="R774" s="340"/>
      <c r="S774" s="348"/>
      <c r="T774" s="348"/>
      <c r="U774" s="348"/>
      <c r="V774" s="340"/>
      <c r="W774" s="340"/>
      <c r="X774" s="340"/>
      <c r="Y774" s="340"/>
    </row>
    <row r="775" spans="1:25" ht="15" thickBot="1" x14ac:dyDescent="0.3">
      <c r="A775" s="325"/>
      <c r="B775" s="325"/>
      <c r="C775" s="325"/>
      <c r="D775" s="325"/>
      <c r="E775" s="325"/>
      <c r="F775" s="325"/>
      <c r="G775" s="325"/>
      <c r="H775" s="325"/>
      <c r="I775" s="325"/>
      <c r="J775" s="325"/>
      <c r="K775" s="339"/>
      <c r="L775" s="340"/>
      <c r="M775" s="340"/>
      <c r="N775" s="340"/>
      <c r="O775" s="340"/>
      <c r="P775" s="340"/>
      <c r="Q775" s="340"/>
      <c r="R775" s="340"/>
      <c r="S775" s="348"/>
      <c r="T775" s="348"/>
      <c r="U775" s="348"/>
      <c r="V775" s="340"/>
      <c r="W775" s="340"/>
      <c r="X775" s="340"/>
      <c r="Y775" s="340"/>
    </row>
    <row r="776" spans="1:25" ht="15" thickBot="1" x14ac:dyDescent="0.3">
      <c r="A776" s="325"/>
      <c r="B776" s="325"/>
      <c r="C776" s="325"/>
      <c r="D776" s="325"/>
      <c r="E776" s="325"/>
      <c r="F776" s="325"/>
      <c r="G776" s="325"/>
      <c r="H776" s="325"/>
      <c r="I776" s="325"/>
      <c r="J776" s="325"/>
      <c r="K776" s="339"/>
      <c r="L776" s="340"/>
      <c r="M776" s="340"/>
      <c r="N776" s="340"/>
      <c r="O776" s="340"/>
      <c r="P776" s="340"/>
      <c r="Q776" s="340"/>
      <c r="R776" s="340"/>
      <c r="S776" s="348"/>
      <c r="T776" s="348"/>
      <c r="U776" s="348"/>
      <c r="V776" s="340"/>
      <c r="W776" s="340"/>
      <c r="X776" s="340"/>
      <c r="Y776" s="340"/>
    </row>
    <row r="777" spans="1:25" ht="15" thickBot="1" x14ac:dyDescent="0.3">
      <c r="A777" s="325"/>
      <c r="B777" s="325"/>
      <c r="C777" s="325"/>
      <c r="D777" s="325"/>
      <c r="E777" s="325"/>
      <c r="F777" s="325"/>
      <c r="G777" s="325"/>
      <c r="H777" s="325"/>
      <c r="I777" s="325"/>
      <c r="J777" s="325"/>
      <c r="K777" s="339"/>
      <c r="L777" s="340"/>
      <c r="M777" s="340"/>
      <c r="N777" s="340"/>
      <c r="O777" s="340"/>
      <c r="P777" s="340"/>
      <c r="Q777" s="340"/>
      <c r="R777" s="340"/>
      <c r="S777" s="348"/>
      <c r="T777" s="348"/>
      <c r="U777" s="348"/>
      <c r="V777" s="340"/>
      <c r="W777" s="340"/>
      <c r="X777" s="340"/>
      <c r="Y777" s="340"/>
    </row>
    <row r="778" spans="1:25" ht="15" thickBot="1" x14ac:dyDescent="0.3">
      <c r="A778" s="325"/>
      <c r="B778" s="325"/>
      <c r="C778" s="325"/>
      <c r="D778" s="325"/>
      <c r="E778" s="325"/>
      <c r="F778" s="325"/>
      <c r="G778" s="325"/>
      <c r="H778" s="325"/>
      <c r="I778" s="325"/>
      <c r="J778" s="325"/>
      <c r="K778" s="339"/>
      <c r="L778" s="340"/>
      <c r="M778" s="340"/>
      <c r="N778" s="340"/>
      <c r="O778" s="340"/>
      <c r="P778" s="340"/>
      <c r="Q778" s="340"/>
      <c r="R778" s="340"/>
      <c r="S778" s="348"/>
      <c r="T778" s="348"/>
      <c r="U778" s="348"/>
      <c r="V778" s="340"/>
      <c r="W778" s="340"/>
      <c r="X778" s="340"/>
      <c r="Y778" s="340"/>
    </row>
    <row r="779" spans="1:25" ht="15" thickBot="1" x14ac:dyDescent="0.3">
      <c r="A779" s="325"/>
      <c r="B779" s="325"/>
      <c r="C779" s="325"/>
      <c r="D779" s="325"/>
      <c r="E779" s="325"/>
      <c r="F779" s="325"/>
      <c r="G779" s="325"/>
      <c r="H779" s="325"/>
      <c r="I779" s="325"/>
      <c r="J779" s="325"/>
      <c r="K779" s="339"/>
      <c r="L779" s="340"/>
      <c r="M779" s="340"/>
      <c r="N779" s="340"/>
      <c r="O779" s="340"/>
      <c r="P779" s="340"/>
      <c r="Q779" s="340"/>
      <c r="R779" s="340"/>
      <c r="S779" s="348"/>
      <c r="T779" s="348"/>
      <c r="U779" s="348"/>
      <c r="V779" s="340"/>
      <c r="W779" s="340"/>
      <c r="X779" s="340"/>
      <c r="Y779" s="340"/>
    </row>
    <row r="780" spans="1:25" ht="15" thickBot="1" x14ac:dyDescent="0.3">
      <c r="A780" s="325"/>
      <c r="B780" s="325"/>
      <c r="C780" s="325"/>
      <c r="D780" s="325"/>
      <c r="E780" s="325"/>
      <c r="F780" s="325"/>
      <c r="G780" s="325"/>
      <c r="H780" s="325"/>
      <c r="I780" s="325"/>
      <c r="J780" s="325"/>
      <c r="K780" s="339"/>
      <c r="L780" s="340"/>
      <c r="M780" s="340"/>
      <c r="N780" s="340"/>
      <c r="O780" s="340"/>
      <c r="P780" s="340"/>
      <c r="Q780" s="340"/>
      <c r="R780" s="340"/>
      <c r="S780" s="348"/>
      <c r="T780" s="348"/>
      <c r="U780" s="348"/>
      <c r="V780" s="340"/>
      <c r="W780" s="340"/>
      <c r="X780" s="340"/>
      <c r="Y780" s="340"/>
    </row>
    <row r="781" spans="1:25" ht="15" thickBot="1" x14ac:dyDescent="0.3">
      <c r="A781" s="325"/>
      <c r="B781" s="325"/>
      <c r="C781" s="325"/>
      <c r="D781" s="325"/>
      <c r="E781" s="325"/>
      <c r="F781" s="325"/>
      <c r="G781" s="325"/>
      <c r="H781" s="325"/>
      <c r="I781" s="325"/>
      <c r="J781" s="325"/>
      <c r="K781" s="339"/>
      <c r="L781" s="340"/>
      <c r="M781" s="340"/>
      <c r="N781" s="340"/>
      <c r="O781" s="340"/>
      <c r="P781" s="340"/>
      <c r="Q781" s="340"/>
      <c r="R781" s="340"/>
      <c r="S781" s="348"/>
      <c r="T781" s="348"/>
      <c r="U781" s="348"/>
      <c r="V781" s="340"/>
      <c r="W781" s="340"/>
      <c r="X781" s="340"/>
      <c r="Y781" s="340"/>
    </row>
    <row r="782" spans="1:25" ht="15" thickBot="1" x14ac:dyDescent="0.3">
      <c r="A782" s="325"/>
      <c r="B782" s="325"/>
      <c r="C782" s="325"/>
      <c r="D782" s="325"/>
      <c r="E782" s="325"/>
      <c r="F782" s="325"/>
      <c r="G782" s="325"/>
      <c r="H782" s="325"/>
      <c r="I782" s="325"/>
      <c r="J782" s="325"/>
      <c r="K782" s="339"/>
      <c r="L782" s="340"/>
      <c r="M782" s="340"/>
      <c r="N782" s="340"/>
      <c r="O782" s="340"/>
      <c r="P782" s="340"/>
      <c r="Q782" s="340"/>
      <c r="R782" s="340"/>
      <c r="S782" s="348"/>
      <c r="T782" s="348"/>
      <c r="U782" s="348"/>
      <c r="V782" s="340"/>
      <c r="W782" s="340"/>
      <c r="X782" s="340"/>
      <c r="Y782" s="340"/>
    </row>
    <row r="783" spans="1:25" ht="15" thickBot="1" x14ac:dyDescent="0.3">
      <c r="A783" s="325"/>
      <c r="B783" s="325"/>
      <c r="C783" s="325"/>
      <c r="D783" s="325"/>
      <c r="E783" s="325"/>
      <c r="F783" s="325"/>
      <c r="G783" s="325"/>
      <c r="H783" s="325"/>
      <c r="I783" s="325"/>
      <c r="J783" s="325"/>
      <c r="K783" s="339"/>
      <c r="L783" s="340"/>
      <c r="M783" s="340"/>
      <c r="N783" s="340"/>
      <c r="O783" s="340"/>
      <c r="P783" s="340"/>
      <c r="Q783" s="340"/>
      <c r="R783" s="340"/>
      <c r="S783" s="348"/>
      <c r="T783" s="348"/>
      <c r="U783" s="348"/>
      <c r="V783" s="340"/>
      <c r="W783" s="340"/>
      <c r="X783" s="340"/>
      <c r="Y783" s="340"/>
    </row>
    <row r="784" spans="1:25" ht="15" thickBot="1" x14ac:dyDescent="0.3">
      <c r="A784" s="325"/>
      <c r="B784" s="325"/>
      <c r="C784" s="325"/>
      <c r="D784" s="325"/>
      <c r="E784" s="325"/>
      <c r="F784" s="325"/>
      <c r="G784" s="325"/>
      <c r="H784" s="325"/>
      <c r="I784" s="325"/>
      <c r="J784" s="325"/>
      <c r="K784" s="339"/>
      <c r="L784" s="340"/>
      <c r="M784" s="340"/>
      <c r="N784" s="340"/>
      <c r="O784" s="340"/>
      <c r="P784" s="340"/>
      <c r="Q784" s="340"/>
      <c r="R784" s="340"/>
      <c r="S784" s="348"/>
      <c r="T784" s="348"/>
      <c r="U784" s="348"/>
      <c r="V784" s="340"/>
      <c r="W784" s="340"/>
      <c r="X784" s="340"/>
      <c r="Y784" s="340"/>
    </row>
    <row r="785" spans="1:25" ht="15" thickBot="1" x14ac:dyDescent="0.3">
      <c r="A785" s="325"/>
      <c r="B785" s="325"/>
      <c r="C785" s="325"/>
      <c r="D785" s="325"/>
      <c r="E785" s="325"/>
      <c r="F785" s="325"/>
      <c r="G785" s="325"/>
      <c r="H785" s="325"/>
      <c r="I785" s="325"/>
      <c r="J785" s="325"/>
      <c r="K785" s="339"/>
      <c r="L785" s="340"/>
      <c r="M785" s="340"/>
      <c r="N785" s="340"/>
      <c r="O785" s="340"/>
      <c r="P785" s="340"/>
      <c r="Q785" s="340"/>
      <c r="R785" s="340"/>
      <c r="S785" s="348"/>
      <c r="T785" s="348"/>
      <c r="U785" s="348"/>
      <c r="V785" s="340"/>
      <c r="W785" s="340"/>
      <c r="X785" s="340"/>
      <c r="Y785" s="340"/>
    </row>
    <row r="786" spans="1:25" ht="15" thickBot="1" x14ac:dyDescent="0.3">
      <c r="A786" s="325"/>
      <c r="B786" s="325"/>
      <c r="C786" s="325"/>
      <c r="D786" s="325"/>
      <c r="E786" s="325"/>
      <c r="F786" s="325"/>
      <c r="G786" s="325"/>
      <c r="H786" s="325"/>
      <c r="I786" s="325"/>
      <c r="J786" s="325"/>
      <c r="K786" s="339"/>
      <c r="L786" s="340"/>
      <c r="M786" s="340"/>
      <c r="N786" s="340"/>
      <c r="O786" s="340"/>
      <c r="P786" s="340"/>
      <c r="Q786" s="340"/>
      <c r="R786" s="340"/>
      <c r="S786" s="348"/>
      <c r="T786" s="348"/>
      <c r="U786" s="348"/>
      <c r="V786" s="340"/>
      <c r="W786" s="340"/>
      <c r="X786" s="340"/>
      <c r="Y786" s="340"/>
    </row>
    <row r="787" spans="1:25" ht="15" thickBot="1" x14ac:dyDescent="0.3">
      <c r="A787" s="325"/>
      <c r="B787" s="325"/>
      <c r="C787" s="325"/>
      <c r="D787" s="325"/>
      <c r="E787" s="325"/>
      <c r="F787" s="325"/>
      <c r="G787" s="325"/>
      <c r="H787" s="325"/>
      <c r="I787" s="325"/>
      <c r="J787" s="325"/>
      <c r="K787" s="339"/>
      <c r="L787" s="340"/>
      <c r="M787" s="340"/>
      <c r="N787" s="340"/>
      <c r="O787" s="340"/>
      <c r="P787" s="340"/>
      <c r="Q787" s="340"/>
      <c r="R787" s="340"/>
      <c r="S787" s="348"/>
      <c r="T787" s="348"/>
      <c r="U787" s="348"/>
      <c r="V787" s="340"/>
      <c r="W787" s="340"/>
      <c r="X787" s="340"/>
      <c r="Y787" s="340"/>
    </row>
    <row r="788" spans="1:25" ht="15" thickBot="1" x14ac:dyDescent="0.3">
      <c r="A788" s="325"/>
      <c r="B788" s="325"/>
      <c r="C788" s="325"/>
      <c r="D788" s="325"/>
      <c r="E788" s="325"/>
      <c r="F788" s="325"/>
      <c r="G788" s="325"/>
      <c r="H788" s="325"/>
      <c r="I788" s="325"/>
      <c r="J788" s="325"/>
      <c r="K788" s="339"/>
      <c r="L788" s="340"/>
      <c r="M788" s="340"/>
      <c r="N788" s="340"/>
      <c r="O788" s="340"/>
      <c r="P788" s="340"/>
      <c r="Q788" s="340"/>
      <c r="R788" s="340"/>
      <c r="S788" s="348"/>
      <c r="T788" s="348"/>
      <c r="U788" s="348"/>
      <c r="V788" s="340"/>
      <c r="W788" s="340"/>
      <c r="X788" s="340"/>
      <c r="Y788" s="340"/>
    </row>
    <row r="789" spans="1:25" ht="15" thickBot="1" x14ac:dyDescent="0.3">
      <c r="A789" s="325"/>
      <c r="B789" s="325"/>
      <c r="C789" s="325"/>
      <c r="D789" s="325"/>
      <c r="E789" s="325"/>
      <c r="F789" s="325"/>
      <c r="G789" s="325"/>
      <c r="H789" s="325"/>
      <c r="I789" s="325"/>
      <c r="J789" s="325"/>
      <c r="K789" s="339"/>
      <c r="L789" s="340"/>
      <c r="M789" s="340"/>
      <c r="N789" s="340"/>
      <c r="O789" s="340"/>
      <c r="P789" s="340"/>
      <c r="Q789" s="340"/>
      <c r="R789" s="340"/>
      <c r="S789" s="348"/>
      <c r="T789" s="348"/>
      <c r="U789" s="348"/>
      <c r="V789" s="340"/>
      <c r="W789" s="340"/>
      <c r="X789" s="340"/>
      <c r="Y789" s="340"/>
    </row>
    <row r="790" spans="1:25" ht="15" thickBot="1" x14ac:dyDescent="0.3">
      <c r="A790" s="325"/>
      <c r="B790" s="325"/>
      <c r="C790" s="325"/>
      <c r="D790" s="325"/>
      <c r="E790" s="325"/>
      <c r="F790" s="325"/>
      <c r="G790" s="325"/>
      <c r="H790" s="325"/>
      <c r="I790" s="325"/>
      <c r="J790" s="325"/>
      <c r="K790" s="339"/>
      <c r="L790" s="340"/>
      <c r="M790" s="340"/>
      <c r="N790" s="340"/>
      <c r="O790" s="340"/>
      <c r="P790" s="340"/>
      <c r="Q790" s="340"/>
      <c r="R790" s="340"/>
      <c r="S790" s="348"/>
      <c r="T790" s="348"/>
      <c r="U790" s="348"/>
      <c r="V790" s="340"/>
      <c r="W790" s="340"/>
      <c r="X790" s="340"/>
      <c r="Y790" s="340"/>
    </row>
    <row r="791" spans="1:25" ht="15" thickBot="1" x14ac:dyDescent="0.3">
      <c r="A791" s="325"/>
      <c r="B791" s="325"/>
      <c r="C791" s="325"/>
      <c r="D791" s="325"/>
      <c r="E791" s="325"/>
      <c r="F791" s="325"/>
      <c r="G791" s="325"/>
      <c r="H791" s="325"/>
      <c r="I791" s="325"/>
      <c r="J791" s="325"/>
      <c r="K791" s="339"/>
      <c r="L791" s="340"/>
      <c r="M791" s="340"/>
      <c r="N791" s="340"/>
      <c r="O791" s="340"/>
      <c r="P791" s="340"/>
      <c r="Q791" s="340"/>
      <c r="R791" s="340"/>
      <c r="S791" s="348"/>
      <c r="T791" s="348"/>
      <c r="U791" s="348"/>
      <c r="V791" s="340"/>
      <c r="W791" s="340"/>
      <c r="X791" s="340"/>
      <c r="Y791" s="340"/>
    </row>
    <row r="792" spans="1:25" ht="15" thickBot="1" x14ac:dyDescent="0.3">
      <c r="A792" s="325"/>
      <c r="B792" s="325"/>
      <c r="C792" s="325"/>
      <c r="D792" s="325"/>
      <c r="E792" s="325"/>
      <c r="F792" s="325"/>
      <c r="G792" s="325"/>
      <c r="H792" s="325"/>
      <c r="I792" s="325"/>
      <c r="J792" s="325"/>
      <c r="K792" s="339"/>
      <c r="L792" s="340"/>
      <c r="M792" s="340"/>
      <c r="N792" s="340"/>
      <c r="O792" s="340"/>
      <c r="P792" s="340"/>
      <c r="Q792" s="340"/>
      <c r="R792" s="340"/>
      <c r="S792" s="348"/>
      <c r="T792" s="348"/>
      <c r="U792" s="348"/>
      <c r="V792" s="340"/>
      <c r="W792" s="340"/>
      <c r="X792" s="340"/>
      <c r="Y792" s="340"/>
    </row>
    <row r="793" spans="1:25" ht="15" thickBot="1" x14ac:dyDescent="0.3">
      <c r="A793" s="325"/>
      <c r="B793" s="325"/>
      <c r="C793" s="325"/>
      <c r="D793" s="325"/>
      <c r="E793" s="325"/>
      <c r="F793" s="325"/>
      <c r="G793" s="325"/>
      <c r="H793" s="325"/>
      <c r="I793" s="325"/>
      <c r="J793" s="325"/>
      <c r="K793" s="339"/>
      <c r="L793" s="340"/>
      <c r="M793" s="340"/>
      <c r="N793" s="340"/>
      <c r="O793" s="340"/>
      <c r="P793" s="340"/>
      <c r="Q793" s="340"/>
      <c r="R793" s="340"/>
      <c r="S793" s="348"/>
      <c r="T793" s="348"/>
      <c r="U793" s="348"/>
      <c r="V793" s="340"/>
      <c r="W793" s="340"/>
      <c r="X793" s="340"/>
      <c r="Y793" s="340"/>
    </row>
    <row r="794" spans="1:25" ht="15" thickBot="1" x14ac:dyDescent="0.3">
      <c r="A794" s="325"/>
      <c r="B794" s="325"/>
      <c r="C794" s="325"/>
      <c r="D794" s="325"/>
      <c r="E794" s="325"/>
      <c r="F794" s="325"/>
      <c r="G794" s="325"/>
      <c r="H794" s="325"/>
      <c r="I794" s="325"/>
      <c r="J794" s="325"/>
      <c r="K794" s="339"/>
      <c r="L794" s="340"/>
      <c r="M794" s="340"/>
      <c r="N794" s="340"/>
      <c r="O794" s="340"/>
      <c r="P794" s="340"/>
      <c r="Q794" s="340"/>
      <c r="R794" s="340"/>
      <c r="S794" s="348"/>
      <c r="T794" s="348"/>
      <c r="U794" s="348"/>
      <c r="V794" s="340"/>
      <c r="W794" s="340"/>
      <c r="X794" s="340"/>
      <c r="Y794" s="340"/>
    </row>
    <row r="795" spans="1:25" ht="15" thickBot="1" x14ac:dyDescent="0.3">
      <c r="A795" s="325"/>
      <c r="B795" s="325"/>
      <c r="C795" s="325"/>
      <c r="D795" s="325"/>
      <c r="E795" s="325"/>
      <c r="F795" s="325"/>
      <c r="G795" s="325"/>
      <c r="H795" s="325"/>
      <c r="I795" s="325"/>
      <c r="J795" s="325"/>
      <c r="K795" s="339"/>
      <c r="L795" s="340"/>
      <c r="M795" s="340"/>
      <c r="N795" s="340"/>
      <c r="O795" s="340"/>
      <c r="P795" s="340"/>
      <c r="Q795" s="340"/>
      <c r="R795" s="340"/>
      <c r="S795" s="348"/>
      <c r="T795" s="348"/>
      <c r="U795" s="348"/>
      <c r="V795" s="340"/>
      <c r="W795" s="340"/>
      <c r="X795" s="340"/>
      <c r="Y795" s="340"/>
    </row>
    <row r="796" spans="1:25" ht="15" thickBot="1" x14ac:dyDescent="0.3">
      <c r="A796" s="325"/>
      <c r="B796" s="325"/>
      <c r="C796" s="325"/>
      <c r="D796" s="325"/>
      <c r="E796" s="325"/>
      <c r="F796" s="325"/>
      <c r="G796" s="325"/>
      <c r="H796" s="325"/>
      <c r="I796" s="325"/>
      <c r="J796" s="325"/>
      <c r="K796" s="339"/>
      <c r="L796" s="340"/>
      <c r="M796" s="340"/>
      <c r="N796" s="340"/>
      <c r="O796" s="340"/>
      <c r="P796" s="340"/>
      <c r="Q796" s="340"/>
      <c r="R796" s="340"/>
      <c r="S796" s="348"/>
      <c r="T796" s="348"/>
      <c r="U796" s="348"/>
      <c r="V796" s="340"/>
      <c r="W796" s="340"/>
      <c r="X796" s="340"/>
      <c r="Y796" s="340"/>
    </row>
    <row r="797" spans="1:25" ht="15" thickBot="1" x14ac:dyDescent="0.3">
      <c r="A797" s="325"/>
      <c r="B797" s="325"/>
      <c r="C797" s="325"/>
      <c r="D797" s="325"/>
      <c r="E797" s="325"/>
      <c r="F797" s="325"/>
      <c r="G797" s="325"/>
      <c r="H797" s="325"/>
      <c r="I797" s="325"/>
      <c r="J797" s="325"/>
      <c r="K797" s="339"/>
      <c r="L797" s="340"/>
      <c r="M797" s="340"/>
      <c r="N797" s="340"/>
      <c r="O797" s="340"/>
      <c r="P797" s="340"/>
      <c r="Q797" s="340"/>
      <c r="R797" s="340"/>
      <c r="S797" s="348"/>
      <c r="T797" s="348"/>
      <c r="U797" s="348"/>
      <c r="V797" s="340"/>
      <c r="W797" s="340"/>
      <c r="X797" s="340"/>
      <c r="Y797" s="340"/>
    </row>
    <row r="798" spans="1:25" ht="15" thickBot="1" x14ac:dyDescent="0.3">
      <c r="A798" s="325"/>
      <c r="B798" s="325"/>
      <c r="C798" s="325"/>
      <c r="D798" s="325"/>
      <c r="E798" s="325"/>
      <c r="F798" s="325"/>
      <c r="G798" s="325"/>
      <c r="H798" s="325"/>
      <c r="I798" s="325"/>
      <c r="J798" s="325"/>
      <c r="K798" s="339"/>
      <c r="L798" s="340"/>
      <c r="M798" s="340"/>
      <c r="N798" s="340"/>
      <c r="O798" s="340"/>
      <c r="P798" s="340"/>
      <c r="Q798" s="340"/>
      <c r="R798" s="340"/>
      <c r="S798" s="348"/>
      <c r="T798" s="348"/>
      <c r="U798" s="348"/>
      <c r="V798" s="340"/>
      <c r="W798" s="340"/>
      <c r="X798" s="340"/>
      <c r="Y798" s="340"/>
    </row>
    <row r="799" spans="1:25" ht="15" thickBot="1" x14ac:dyDescent="0.3">
      <c r="A799" s="325"/>
      <c r="B799" s="325"/>
      <c r="C799" s="325"/>
      <c r="D799" s="325"/>
      <c r="E799" s="325"/>
      <c r="F799" s="325"/>
      <c r="G799" s="325"/>
      <c r="H799" s="325"/>
      <c r="I799" s="325"/>
      <c r="J799" s="325"/>
      <c r="K799" s="339"/>
      <c r="L799" s="340"/>
      <c r="M799" s="340"/>
      <c r="N799" s="340"/>
      <c r="O799" s="340"/>
      <c r="P799" s="340"/>
      <c r="Q799" s="340"/>
      <c r="R799" s="340"/>
      <c r="S799" s="348"/>
      <c r="T799" s="348"/>
      <c r="U799" s="348"/>
      <c r="V799" s="340"/>
      <c r="W799" s="340"/>
      <c r="X799" s="340"/>
      <c r="Y799" s="340"/>
    </row>
    <row r="800" spans="1:25" ht="15" thickBot="1" x14ac:dyDescent="0.3">
      <c r="A800" s="325"/>
      <c r="B800" s="325"/>
      <c r="C800" s="325"/>
      <c r="D800" s="325"/>
      <c r="E800" s="325"/>
      <c r="F800" s="325"/>
      <c r="G800" s="325"/>
      <c r="H800" s="325"/>
      <c r="I800" s="325"/>
      <c r="J800" s="325"/>
      <c r="K800" s="339"/>
      <c r="L800" s="340"/>
      <c r="M800" s="340"/>
      <c r="N800" s="340"/>
      <c r="O800" s="340"/>
      <c r="P800" s="340"/>
      <c r="Q800" s="340"/>
      <c r="R800" s="340"/>
      <c r="S800" s="348"/>
      <c r="T800" s="348"/>
      <c r="U800" s="348"/>
      <c r="V800" s="340"/>
      <c r="W800" s="340"/>
      <c r="X800" s="340"/>
      <c r="Y800" s="340"/>
    </row>
    <row r="801" spans="1:25" ht="15" thickBot="1" x14ac:dyDescent="0.3">
      <c r="A801" s="325"/>
      <c r="B801" s="325"/>
      <c r="C801" s="325"/>
      <c r="D801" s="325"/>
      <c r="E801" s="325"/>
      <c r="F801" s="325"/>
      <c r="G801" s="325"/>
      <c r="H801" s="325"/>
      <c r="I801" s="325"/>
      <c r="J801" s="325"/>
      <c r="K801" s="339"/>
      <c r="L801" s="340"/>
      <c r="M801" s="340"/>
      <c r="N801" s="340"/>
      <c r="O801" s="340"/>
      <c r="P801" s="340"/>
      <c r="Q801" s="340"/>
      <c r="R801" s="340"/>
      <c r="S801" s="348"/>
      <c r="T801" s="348"/>
      <c r="U801" s="348"/>
      <c r="V801" s="340"/>
      <c r="W801" s="340"/>
      <c r="X801" s="340"/>
      <c r="Y801" s="340"/>
    </row>
    <row r="802" spans="1:25" ht="15" thickBot="1" x14ac:dyDescent="0.3">
      <c r="A802" s="325"/>
      <c r="B802" s="325"/>
      <c r="C802" s="325"/>
      <c r="D802" s="325"/>
      <c r="E802" s="325"/>
      <c r="F802" s="325"/>
      <c r="G802" s="325"/>
      <c r="H802" s="325"/>
      <c r="I802" s="325"/>
      <c r="J802" s="325"/>
      <c r="K802" s="339"/>
      <c r="L802" s="340"/>
      <c r="M802" s="340"/>
      <c r="N802" s="340"/>
      <c r="O802" s="340"/>
      <c r="P802" s="340"/>
      <c r="Q802" s="340"/>
      <c r="R802" s="340"/>
      <c r="S802" s="348"/>
      <c r="T802" s="348"/>
      <c r="U802" s="348"/>
      <c r="V802" s="340"/>
      <c r="W802" s="340"/>
      <c r="X802" s="340"/>
      <c r="Y802" s="340"/>
    </row>
    <row r="803" spans="1:25" ht="15" thickBot="1" x14ac:dyDescent="0.3">
      <c r="A803" s="325"/>
      <c r="B803" s="325"/>
      <c r="C803" s="325"/>
      <c r="D803" s="325"/>
      <c r="E803" s="325"/>
      <c r="F803" s="325"/>
      <c r="G803" s="325"/>
      <c r="H803" s="325"/>
      <c r="I803" s="325"/>
      <c r="J803" s="325"/>
      <c r="K803" s="339"/>
      <c r="L803" s="340"/>
      <c r="M803" s="340"/>
      <c r="N803" s="340"/>
      <c r="O803" s="340"/>
      <c r="P803" s="340"/>
      <c r="Q803" s="340"/>
      <c r="R803" s="340"/>
      <c r="S803" s="348"/>
      <c r="T803" s="348"/>
      <c r="U803" s="348"/>
      <c r="V803" s="340"/>
      <c r="W803" s="340"/>
      <c r="X803" s="340"/>
      <c r="Y803" s="340"/>
    </row>
    <row r="804" spans="1:25" ht="15" thickBot="1" x14ac:dyDescent="0.3">
      <c r="A804" s="325"/>
      <c r="B804" s="325"/>
      <c r="C804" s="325"/>
      <c r="D804" s="325"/>
      <c r="E804" s="325"/>
      <c r="F804" s="325"/>
      <c r="G804" s="325"/>
      <c r="H804" s="325"/>
      <c r="I804" s="325"/>
      <c r="J804" s="325"/>
      <c r="K804" s="339"/>
      <c r="L804" s="340"/>
      <c r="M804" s="340"/>
      <c r="N804" s="340"/>
      <c r="O804" s="340"/>
      <c r="P804" s="340"/>
      <c r="Q804" s="340"/>
      <c r="R804" s="340"/>
      <c r="S804" s="348"/>
      <c r="T804" s="348"/>
      <c r="U804" s="348"/>
      <c r="V804" s="340"/>
      <c r="W804" s="340"/>
      <c r="X804" s="340"/>
      <c r="Y804" s="340"/>
    </row>
    <row r="805" spans="1:25" ht="15" thickBot="1" x14ac:dyDescent="0.3">
      <c r="A805" s="325"/>
      <c r="B805" s="325"/>
      <c r="C805" s="325"/>
      <c r="D805" s="325"/>
      <c r="E805" s="325"/>
      <c r="F805" s="325"/>
      <c r="G805" s="325"/>
      <c r="H805" s="325"/>
      <c r="I805" s="325"/>
      <c r="J805" s="325"/>
      <c r="K805" s="339"/>
      <c r="L805" s="340"/>
      <c r="M805" s="340"/>
      <c r="N805" s="340"/>
      <c r="O805" s="340"/>
      <c r="P805" s="340"/>
      <c r="Q805" s="340"/>
      <c r="R805" s="340"/>
      <c r="S805" s="348"/>
      <c r="T805" s="348"/>
      <c r="U805" s="348"/>
      <c r="V805" s="340"/>
      <c r="W805" s="340"/>
      <c r="X805" s="340"/>
      <c r="Y805" s="340"/>
    </row>
    <row r="806" spans="1:25" ht="15" thickBot="1" x14ac:dyDescent="0.3">
      <c r="A806" s="325"/>
      <c r="B806" s="325"/>
      <c r="C806" s="325"/>
      <c r="D806" s="325"/>
      <c r="E806" s="325"/>
      <c r="F806" s="325"/>
      <c r="G806" s="325"/>
      <c r="H806" s="325"/>
      <c r="I806" s="325"/>
      <c r="J806" s="325"/>
      <c r="K806" s="339"/>
      <c r="L806" s="340"/>
      <c r="M806" s="340"/>
      <c r="N806" s="340"/>
      <c r="O806" s="340"/>
      <c r="P806" s="340"/>
      <c r="Q806" s="340"/>
      <c r="R806" s="340"/>
      <c r="S806" s="348"/>
      <c r="T806" s="348"/>
      <c r="U806" s="348"/>
      <c r="V806" s="340"/>
      <c r="W806" s="340"/>
      <c r="X806" s="340"/>
      <c r="Y806" s="340"/>
    </row>
    <row r="807" spans="1:25" ht="15" thickBot="1" x14ac:dyDescent="0.3">
      <c r="A807" s="325"/>
      <c r="B807" s="325"/>
      <c r="C807" s="325"/>
      <c r="D807" s="325"/>
      <c r="E807" s="325"/>
      <c r="F807" s="325"/>
      <c r="G807" s="325"/>
      <c r="H807" s="325"/>
      <c r="I807" s="325"/>
      <c r="J807" s="325"/>
      <c r="K807" s="339"/>
      <c r="L807" s="340"/>
      <c r="M807" s="340"/>
      <c r="N807" s="340"/>
      <c r="O807" s="340"/>
      <c r="P807" s="340"/>
      <c r="Q807" s="340"/>
      <c r="R807" s="340"/>
      <c r="S807" s="348"/>
      <c r="T807" s="348"/>
      <c r="U807" s="348"/>
      <c r="V807" s="340"/>
      <c r="W807" s="340"/>
      <c r="X807" s="340"/>
      <c r="Y807" s="340"/>
    </row>
    <row r="808" spans="1:25" ht="15" thickBot="1" x14ac:dyDescent="0.3">
      <c r="A808" s="325"/>
      <c r="B808" s="325"/>
      <c r="C808" s="325"/>
      <c r="D808" s="325"/>
      <c r="E808" s="325"/>
      <c r="F808" s="325"/>
      <c r="G808" s="325"/>
      <c r="H808" s="325"/>
      <c r="I808" s="325"/>
      <c r="J808" s="325"/>
      <c r="K808" s="339"/>
      <c r="L808" s="340"/>
      <c r="M808" s="340"/>
      <c r="N808" s="340"/>
      <c r="O808" s="340"/>
      <c r="P808" s="340"/>
      <c r="Q808" s="340"/>
      <c r="R808" s="340"/>
      <c r="S808" s="348"/>
      <c r="T808" s="348"/>
      <c r="U808" s="348"/>
      <c r="V808" s="340"/>
      <c r="W808" s="340"/>
      <c r="X808" s="340"/>
      <c r="Y808" s="340"/>
    </row>
    <row r="809" spans="1:25" ht="15" thickBot="1" x14ac:dyDescent="0.3">
      <c r="A809" s="325"/>
      <c r="B809" s="325"/>
      <c r="C809" s="325"/>
      <c r="D809" s="325"/>
      <c r="E809" s="325"/>
      <c r="F809" s="325"/>
      <c r="G809" s="325"/>
      <c r="H809" s="325"/>
      <c r="I809" s="325"/>
      <c r="J809" s="325"/>
      <c r="K809" s="339"/>
      <c r="L809" s="340"/>
      <c r="M809" s="340"/>
      <c r="N809" s="340"/>
      <c r="O809" s="340"/>
      <c r="P809" s="340"/>
      <c r="Q809" s="340"/>
      <c r="R809" s="340"/>
      <c r="S809" s="348"/>
      <c r="T809" s="348"/>
      <c r="U809" s="348"/>
      <c r="V809" s="340"/>
      <c r="W809" s="340"/>
      <c r="X809" s="340"/>
      <c r="Y809" s="340"/>
    </row>
    <row r="810" spans="1:25" ht="15" thickBot="1" x14ac:dyDescent="0.3">
      <c r="A810" s="325"/>
      <c r="B810" s="325"/>
      <c r="C810" s="325"/>
      <c r="D810" s="325"/>
      <c r="E810" s="325"/>
      <c r="F810" s="325"/>
      <c r="G810" s="325"/>
      <c r="H810" s="325"/>
      <c r="I810" s="325"/>
      <c r="J810" s="325"/>
      <c r="K810" s="339"/>
      <c r="L810" s="340"/>
      <c r="M810" s="340"/>
      <c r="N810" s="340"/>
      <c r="O810" s="340"/>
      <c r="P810" s="340"/>
      <c r="Q810" s="340"/>
      <c r="R810" s="340"/>
      <c r="S810" s="348"/>
      <c r="T810" s="348"/>
      <c r="U810" s="348"/>
      <c r="V810" s="340"/>
      <c r="W810" s="340"/>
      <c r="X810" s="340"/>
      <c r="Y810" s="340"/>
    </row>
    <row r="811" spans="1:25" ht="15" thickBot="1" x14ac:dyDescent="0.3">
      <c r="A811" s="325"/>
      <c r="B811" s="325"/>
      <c r="C811" s="325"/>
      <c r="D811" s="325"/>
      <c r="E811" s="325"/>
      <c r="F811" s="325"/>
      <c r="G811" s="325"/>
      <c r="H811" s="325"/>
      <c r="I811" s="325"/>
      <c r="J811" s="325"/>
      <c r="K811" s="339"/>
      <c r="L811" s="340"/>
      <c r="M811" s="340"/>
      <c r="N811" s="340"/>
      <c r="O811" s="340"/>
      <c r="P811" s="340"/>
      <c r="Q811" s="340"/>
      <c r="R811" s="340"/>
      <c r="S811" s="348"/>
      <c r="T811" s="348"/>
      <c r="U811" s="348"/>
      <c r="V811" s="340"/>
      <c r="W811" s="340"/>
      <c r="X811" s="340"/>
      <c r="Y811" s="340"/>
    </row>
    <row r="812" spans="1:25" ht="15" thickBot="1" x14ac:dyDescent="0.3">
      <c r="A812" s="325"/>
      <c r="B812" s="325"/>
      <c r="C812" s="325"/>
      <c r="D812" s="325"/>
      <c r="E812" s="325"/>
      <c r="F812" s="325"/>
      <c r="G812" s="325"/>
      <c r="H812" s="325"/>
      <c r="I812" s="325"/>
      <c r="J812" s="325"/>
      <c r="K812" s="339"/>
      <c r="L812" s="340"/>
      <c r="M812" s="340"/>
      <c r="N812" s="340"/>
      <c r="O812" s="340"/>
      <c r="P812" s="340"/>
      <c r="Q812" s="340"/>
      <c r="R812" s="340"/>
      <c r="S812" s="348"/>
      <c r="T812" s="348"/>
      <c r="U812" s="348"/>
      <c r="V812" s="340"/>
      <c r="W812" s="340"/>
      <c r="X812" s="340"/>
      <c r="Y812" s="340"/>
    </row>
    <row r="813" spans="1:25" ht="15" thickBot="1" x14ac:dyDescent="0.3">
      <c r="A813" s="325"/>
      <c r="B813" s="325"/>
      <c r="C813" s="325"/>
      <c r="D813" s="325"/>
      <c r="E813" s="325"/>
      <c r="F813" s="325"/>
      <c r="G813" s="325"/>
      <c r="H813" s="325"/>
      <c r="I813" s="325"/>
      <c r="J813" s="325"/>
      <c r="K813" s="339"/>
      <c r="L813" s="340"/>
      <c r="M813" s="340"/>
      <c r="N813" s="340"/>
      <c r="O813" s="340"/>
      <c r="P813" s="340"/>
      <c r="Q813" s="340"/>
      <c r="R813" s="340"/>
      <c r="S813" s="348"/>
      <c r="T813" s="348"/>
      <c r="U813" s="348"/>
      <c r="V813" s="340"/>
      <c r="W813" s="340"/>
      <c r="X813" s="340"/>
      <c r="Y813" s="340"/>
    </row>
    <row r="814" spans="1:25" ht="15" thickBot="1" x14ac:dyDescent="0.3">
      <c r="A814" s="325"/>
      <c r="B814" s="325"/>
      <c r="C814" s="325"/>
      <c r="D814" s="325"/>
      <c r="E814" s="325"/>
      <c r="F814" s="325"/>
      <c r="G814" s="325"/>
      <c r="H814" s="325"/>
      <c r="I814" s="325"/>
      <c r="J814" s="325"/>
      <c r="K814" s="339"/>
      <c r="L814" s="340"/>
      <c r="M814" s="340"/>
      <c r="N814" s="340"/>
      <c r="O814" s="340"/>
      <c r="P814" s="340"/>
      <c r="Q814" s="340"/>
      <c r="R814" s="340"/>
      <c r="S814" s="348"/>
      <c r="T814" s="348"/>
      <c r="U814" s="348"/>
      <c r="V814" s="340"/>
      <c r="W814" s="340"/>
      <c r="X814" s="340"/>
      <c r="Y814" s="340"/>
    </row>
    <row r="815" spans="1:25" ht="15" thickBot="1" x14ac:dyDescent="0.3">
      <c r="A815" s="325"/>
      <c r="B815" s="325"/>
      <c r="C815" s="325"/>
      <c r="D815" s="325"/>
      <c r="E815" s="325"/>
      <c r="F815" s="325"/>
      <c r="G815" s="325"/>
      <c r="H815" s="325"/>
      <c r="I815" s="325"/>
      <c r="J815" s="325"/>
      <c r="K815" s="339"/>
      <c r="L815" s="340"/>
      <c r="M815" s="340"/>
      <c r="N815" s="340"/>
      <c r="O815" s="340"/>
      <c r="P815" s="340"/>
      <c r="Q815" s="340"/>
      <c r="R815" s="340"/>
      <c r="S815" s="348"/>
      <c r="T815" s="348"/>
      <c r="U815" s="348"/>
      <c r="V815" s="340"/>
      <c r="W815" s="340"/>
      <c r="X815" s="340"/>
      <c r="Y815" s="340"/>
    </row>
    <row r="816" spans="1:25" ht="15" thickBot="1" x14ac:dyDescent="0.3">
      <c r="A816" s="325"/>
      <c r="B816" s="325"/>
      <c r="C816" s="325"/>
      <c r="D816" s="325"/>
      <c r="E816" s="325"/>
      <c r="F816" s="325"/>
      <c r="G816" s="325"/>
      <c r="H816" s="325"/>
      <c r="I816" s="325"/>
      <c r="J816" s="325"/>
      <c r="K816" s="339"/>
      <c r="L816" s="340"/>
      <c r="M816" s="340"/>
      <c r="N816" s="340"/>
      <c r="O816" s="340"/>
      <c r="P816" s="340"/>
      <c r="Q816" s="340"/>
      <c r="R816" s="340"/>
      <c r="S816" s="348"/>
      <c r="T816" s="348"/>
      <c r="U816" s="348"/>
      <c r="V816" s="340"/>
      <c r="W816" s="340"/>
      <c r="X816" s="340"/>
      <c r="Y816" s="340"/>
    </row>
    <row r="817" spans="1:25" ht="15" thickBot="1" x14ac:dyDescent="0.3">
      <c r="A817" s="325"/>
      <c r="B817" s="325"/>
      <c r="C817" s="325"/>
      <c r="D817" s="325"/>
      <c r="E817" s="325"/>
      <c r="F817" s="325"/>
      <c r="G817" s="325"/>
      <c r="H817" s="325"/>
      <c r="I817" s="325"/>
      <c r="J817" s="325"/>
      <c r="K817" s="339"/>
      <c r="L817" s="340"/>
      <c r="M817" s="340"/>
      <c r="N817" s="340"/>
      <c r="O817" s="340"/>
      <c r="P817" s="340"/>
      <c r="Q817" s="340"/>
      <c r="R817" s="340"/>
      <c r="S817" s="348"/>
      <c r="T817" s="348"/>
      <c r="U817" s="348"/>
      <c r="V817" s="340"/>
      <c r="W817" s="340"/>
      <c r="X817" s="340"/>
      <c r="Y817" s="340"/>
    </row>
    <row r="818" spans="1:25" ht="15" thickBot="1" x14ac:dyDescent="0.3">
      <c r="A818" s="325"/>
      <c r="B818" s="325"/>
      <c r="C818" s="325"/>
      <c r="D818" s="325"/>
      <c r="E818" s="325"/>
      <c r="F818" s="325"/>
      <c r="G818" s="325"/>
      <c r="H818" s="325"/>
      <c r="I818" s="325"/>
      <c r="J818" s="325"/>
      <c r="K818" s="339"/>
      <c r="L818" s="340"/>
      <c r="M818" s="340"/>
      <c r="N818" s="340"/>
      <c r="O818" s="340"/>
      <c r="P818" s="340"/>
      <c r="Q818" s="340"/>
      <c r="R818" s="340"/>
      <c r="S818" s="348"/>
      <c r="T818" s="348"/>
      <c r="U818" s="348"/>
      <c r="V818" s="340"/>
      <c r="W818" s="340"/>
      <c r="X818" s="340"/>
      <c r="Y818" s="340"/>
    </row>
    <row r="819" spans="1:25" ht="15" thickBot="1" x14ac:dyDescent="0.3">
      <c r="A819" s="325"/>
      <c r="B819" s="325"/>
      <c r="C819" s="325"/>
      <c r="D819" s="325"/>
      <c r="E819" s="325"/>
      <c r="F819" s="325"/>
      <c r="G819" s="325"/>
      <c r="H819" s="325"/>
      <c r="I819" s="325"/>
      <c r="J819" s="325"/>
      <c r="K819" s="339"/>
      <c r="L819" s="340"/>
      <c r="M819" s="340"/>
      <c r="N819" s="340"/>
      <c r="O819" s="340"/>
      <c r="P819" s="340"/>
      <c r="Q819" s="340"/>
      <c r="R819" s="340"/>
      <c r="S819" s="348"/>
      <c r="T819" s="348"/>
      <c r="U819" s="348"/>
      <c r="V819" s="340"/>
      <c r="W819" s="340"/>
      <c r="X819" s="340"/>
      <c r="Y819" s="340"/>
    </row>
    <row r="820" spans="1:25" ht="15" thickBot="1" x14ac:dyDescent="0.3">
      <c r="A820" s="325"/>
      <c r="B820" s="325"/>
      <c r="C820" s="325"/>
      <c r="D820" s="325"/>
      <c r="E820" s="325"/>
      <c r="F820" s="325"/>
      <c r="G820" s="325"/>
      <c r="H820" s="325"/>
      <c r="I820" s="325"/>
      <c r="J820" s="325"/>
      <c r="K820" s="339"/>
      <c r="L820" s="340"/>
      <c r="M820" s="340"/>
      <c r="N820" s="340"/>
      <c r="O820" s="340"/>
      <c r="P820" s="340"/>
      <c r="Q820" s="340"/>
      <c r="R820" s="340"/>
      <c r="S820" s="348"/>
      <c r="T820" s="348"/>
      <c r="U820" s="348"/>
      <c r="V820" s="340"/>
      <c r="W820" s="340"/>
      <c r="X820" s="340"/>
      <c r="Y820" s="340"/>
    </row>
    <row r="821" spans="1:25" ht="15" thickBot="1" x14ac:dyDescent="0.3">
      <c r="A821" s="325"/>
      <c r="B821" s="325"/>
      <c r="C821" s="325"/>
      <c r="D821" s="325"/>
      <c r="E821" s="325"/>
      <c r="F821" s="325"/>
      <c r="G821" s="325"/>
      <c r="H821" s="325"/>
      <c r="I821" s="325"/>
      <c r="J821" s="325"/>
      <c r="K821" s="339"/>
      <c r="L821" s="340"/>
      <c r="M821" s="340"/>
      <c r="N821" s="340"/>
      <c r="O821" s="340"/>
      <c r="P821" s="340"/>
      <c r="Q821" s="340"/>
      <c r="R821" s="340"/>
      <c r="S821" s="348"/>
      <c r="T821" s="348"/>
      <c r="U821" s="348"/>
      <c r="V821" s="340"/>
      <c r="W821" s="340"/>
      <c r="X821" s="340"/>
      <c r="Y821" s="340"/>
    </row>
    <row r="822" spans="1:25" ht="15" thickBot="1" x14ac:dyDescent="0.3">
      <c r="A822" s="325"/>
      <c r="B822" s="325"/>
      <c r="C822" s="325"/>
      <c r="D822" s="325"/>
      <c r="E822" s="325"/>
      <c r="F822" s="325"/>
      <c r="G822" s="325"/>
      <c r="H822" s="325"/>
      <c r="I822" s="325"/>
      <c r="J822" s="325"/>
      <c r="K822" s="339"/>
      <c r="L822" s="340"/>
      <c r="M822" s="340"/>
      <c r="N822" s="340"/>
      <c r="O822" s="340"/>
      <c r="P822" s="340"/>
      <c r="Q822" s="340"/>
      <c r="R822" s="340"/>
      <c r="S822" s="348"/>
      <c r="T822" s="348"/>
      <c r="U822" s="348"/>
      <c r="V822" s="340"/>
      <c r="W822" s="340"/>
      <c r="X822" s="340"/>
      <c r="Y822" s="340"/>
    </row>
    <row r="823" spans="1:25" ht="15" thickBot="1" x14ac:dyDescent="0.3">
      <c r="A823" s="325"/>
      <c r="B823" s="325"/>
      <c r="C823" s="325"/>
      <c r="D823" s="325"/>
      <c r="E823" s="325"/>
      <c r="F823" s="325"/>
      <c r="G823" s="325"/>
      <c r="H823" s="325"/>
      <c r="I823" s="325"/>
      <c r="J823" s="325"/>
      <c r="K823" s="339"/>
      <c r="L823" s="340"/>
      <c r="M823" s="340"/>
      <c r="N823" s="340"/>
      <c r="O823" s="340"/>
      <c r="P823" s="340"/>
      <c r="Q823" s="340"/>
      <c r="R823" s="340"/>
      <c r="S823" s="348"/>
      <c r="T823" s="348"/>
      <c r="U823" s="348"/>
      <c r="V823" s="340"/>
      <c r="W823" s="340"/>
      <c r="X823" s="340"/>
      <c r="Y823" s="340"/>
    </row>
    <row r="824" spans="1:25" ht="15" thickBot="1" x14ac:dyDescent="0.3">
      <c r="A824" s="325"/>
      <c r="B824" s="325"/>
      <c r="C824" s="325"/>
      <c r="D824" s="325"/>
      <c r="E824" s="325"/>
      <c r="F824" s="325"/>
      <c r="G824" s="325"/>
      <c r="H824" s="325"/>
      <c r="I824" s="325"/>
      <c r="J824" s="325"/>
      <c r="K824" s="339"/>
      <c r="L824" s="340"/>
      <c r="M824" s="340"/>
      <c r="N824" s="340"/>
      <c r="O824" s="340"/>
      <c r="P824" s="340"/>
      <c r="Q824" s="340"/>
      <c r="R824" s="340"/>
      <c r="S824" s="348"/>
      <c r="T824" s="348"/>
      <c r="U824" s="348"/>
      <c r="V824" s="340"/>
      <c r="W824" s="340"/>
      <c r="X824" s="340"/>
      <c r="Y824" s="340"/>
    </row>
    <row r="825" spans="1:25" ht="15" thickBot="1" x14ac:dyDescent="0.3">
      <c r="A825" s="325"/>
      <c r="B825" s="325"/>
      <c r="C825" s="325"/>
      <c r="D825" s="325"/>
      <c r="E825" s="325"/>
      <c r="F825" s="325"/>
      <c r="G825" s="325"/>
      <c r="H825" s="325"/>
      <c r="I825" s="325"/>
      <c r="J825" s="325"/>
      <c r="K825" s="339"/>
      <c r="L825" s="340"/>
      <c r="M825" s="340"/>
      <c r="N825" s="340"/>
      <c r="O825" s="340"/>
      <c r="P825" s="340"/>
      <c r="Q825" s="340"/>
      <c r="R825" s="340"/>
      <c r="S825" s="348"/>
      <c r="T825" s="348"/>
      <c r="U825" s="348"/>
      <c r="V825" s="340"/>
      <c r="W825" s="340"/>
      <c r="X825" s="340"/>
      <c r="Y825" s="340"/>
    </row>
    <row r="826" spans="1:25" ht="15" thickBot="1" x14ac:dyDescent="0.3">
      <c r="A826" s="325"/>
      <c r="B826" s="325"/>
      <c r="C826" s="325"/>
      <c r="D826" s="325"/>
      <c r="E826" s="325"/>
      <c r="F826" s="325"/>
      <c r="G826" s="325"/>
      <c r="H826" s="325"/>
      <c r="I826" s="325"/>
      <c r="J826" s="325"/>
      <c r="K826" s="339"/>
      <c r="L826" s="340"/>
      <c r="M826" s="340"/>
      <c r="N826" s="340"/>
      <c r="O826" s="340"/>
      <c r="P826" s="340"/>
      <c r="Q826" s="340"/>
      <c r="R826" s="340"/>
      <c r="S826" s="348"/>
      <c r="T826" s="348"/>
      <c r="U826" s="348"/>
      <c r="V826" s="340"/>
      <c r="W826" s="340"/>
      <c r="X826" s="340"/>
      <c r="Y826" s="340"/>
    </row>
    <row r="827" spans="1:25" ht="15" thickBot="1" x14ac:dyDescent="0.3">
      <c r="A827" s="325"/>
      <c r="B827" s="325"/>
      <c r="C827" s="325"/>
      <c r="D827" s="325"/>
      <c r="E827" s="325"/>
      <c r="F827" s="325"/>
      <c r="G827" s="325"/>
      <c r="H827" s="325"/>
      <c r="I827" s="325"/>
      <c r="J827" s="325"/>
      <c r="K827" s="339"/>
      <c r="L827" s="340"/>
      <c r="M827" s="340"/>
      <c r="N827" s="340"/>
      <c r="O827" s="340"/>
      <c r="P827" s="340"/>
      <c r="Q827" s="340"/>
      <c r="R827" s="340"/>
      <c r="S827" s="348"/>
      <c r="T827" s="348"/>
      <c r="U827" s="348"/>
      <c r="V827" s="340"/>
      <c r="W827" s="340"/>
      <c r="X827" s="340"/>
      <c r="Y827" s="340"/>
    </row>
    <row r="828" spans="1:25" ht="15" thickBot="1" x14ac:dyDescent="0.3">
      <c r="A828" s="325"/>
      <c r="B828" s="325"/>
      <c r="C828" s="325"/>
      <c r="D828" s="325"/>
      <c r="E828" s="325"/>
      <c r="F828" s="325"/>
      <c r="G828" s="325"/>
      <c r="H828" s="325"/>
      <c r="I828" s="325"/>
      <c r="J828" s="325"/>
      <c r="K828" s="339"/>
      <c r="L828" s="340"/>
      <c r="M828" s="340"/>
      <c r="N828" s="340"/>
      <c r="O828" s="340"/>
      <c r="P828" s="340"/>
      <c r="Q828" s="340"/>
      <c r="R828" s="340"/>
      <c r="S828" s="348"/>
      <c r="T828" s="348"/>
      <c r="U828" s="348"/>
      <c r="V828" s="340"/>
      <c r="W828" s="340"/>
      <c r="X828" s="340"/>
      <c r="Y828" s="340"/>
    </row>
    <row r="829" spans="1:25" ht="15" thickBot="1" x14ac:dyDescent="0.3">
      <c r="A829" s="325"/>
      <c r="B829" s="325"/>
      <c r="C829" s="325"/>
      <c r="D829" s="325"/>
      <c r="E829" s="325"/>
      <c r="F829" s="325"/>
      <c r="G829" s="325"/>
      <c r="H829" s="325"/>
      <c r="I829" s="325"/>
      <c r="J829" s="325"/>
      <c r="K829" s="339"/>
      <c r="L829" s="340"/>
      <c r="M829" s="340"/>
      <c r="N829" s="340"/>
      <c r="O829" s="340"/>
      <c r="P829" s="340"/>
      <c r="Q829" s="340"/>
      <c r="R829" s="340"/>
      <c r="S829" s="348"/>
      <c r="T829" s="348"/>
      <c r="U829" s="348"/>
      <c r="V829" s="340"/>
      <c r="W829" s="340"/>
      <c r="X829" s="340"/>
      <c r="Y829" s="340"/>
    </row>
    <row r="830" spans="1:25" ht="15" thickBot="1" x14ac:dyDescent="0.3">
      <c r="A830" s="325"/>
      <c r="B830" s="325"/>
      <c r="C830" s="325"/>
      <c r="D830" s="325"/>
      <c r="E830" s="325"/>
      <c r="F830" s="325"/>
      <c r="G830" s="325"/>
      <c r="H830" s="325"/>
      <c r="I830" s="325"/>
      <c r="J830" s="325"/>
      <c r="K830" s="339"/>
      <c r="L830" s="340"/>
      <c r="M830" s="340"/>
      <c r="N830" s="340"/>
      <c r="O830" s="340"/>
      <c r="P830" s="340"/>
      <c r="Q830" s="340"/>
      <c r="R830" s="340"/>
      <c r="S830" s="348"/>
      <c r="T830" s="348"/>
      <c r="U830" s="348"/>
      <c r="V830" s="340"/>
      <c r="W830" s="340"/>
      <c r="X830" s="340"/>
      <c r="Y830" s="340"/>
    </row>
    <row r="831" spans="1:25" ht="15" thickBot="1" x14ac:dyDescent="0.3">
      <c r="A831" s="325"/>
      <c r="B831" s="325"/>
      <c r="C831" s="325"/>
      <c r="D831" s="325"/>
      <c r="E831" s="325"/>
      <c r="F831" s="325"/>
      <c r="G831" s="325"/>
      <c r="H831" s="325"/>
      <c r="I831" s="325"/>
      <c r="J831" s="325"/>
      <c r="K831" s="339"/>
      <c r="L831" s="340"/>
      <c r="M831" s="340"/>
      <c r="N831" s="340"/>
      <c r="O831" s="340"/>
      <c r="P831" s="340"/>
      <c r="Q831" s="340"/>
      <c r="R831" s="340"/>
      <c r="S831" s="348"/>
      <c r="T831" s="348"/>
      <c r="U831" s="348"/>
      <c r="V831" s="340"/>
      <c r="W831" s="340"/>
      <c r="X831" s="340"/>
      <c r="Y831" s="340"/>
    </row>
    <row r="832" spans="1:25" ht="15" thickBot="1" x14ac:dyDescent="0.3">
      <c r="A832" s="325"/>
      <c r="B832" s="325"/>
      <c r="C832" s="325"/>
      <c r="D832" s="325"/>
      <c r="E832" s="325"/>
      <c r="F832" s="325"/>
      <c r="G832" s="325"/>
      <c r="H832" s="325"/>
      <c r="I832" s="325"/>
      <c r="J832" s="325"/>
      <c r="K832" s="339"/>
      <c r="L832" s="340"/>
      <c r="M832" s="340"/>
      <c r="N832" s="340"/>
      <c r="O832" s="340"/>
      <c r="P832" s="340"/>
      <c r="Q832" s="340"/>
      <c r="R832" s="340"/>
      <c r="S832" s="348"/>
      <c r="T832" s="348"/>
      <c r="U832" s="348"/>
      <c r="V832" s="340"/>
      <c r="W832" s="340"/>
      <c r="X832" s="340"/>
      <c r="Y832" s="340"/>
    </row>
    <row r="833" spans="1:25" ht="15" thickBot="1" x14ac:dyDescent="0.3">
      <c r="A833" s="325"/>
      <c r="B833" s="325"/>
      <c r="C833" s="325"/>
      <c r="D833" s="325"/>
      <c r="E833" s="325"/>
      <c r="F833" s="325"/>
      <c r="G833" s="325"/>
      <c r="H833" s="325"/>
      <c r="I833" s="325"/>
      <c r="J833" s="325"/>
      <c r="K833" s="339"/>
      <c r="L833" s="340"/>
      <c r="M833" s="340"/>
      <c r="N833" s="340"/>
      <c r="O833" s="340"/>
      <c r="P833" s="340"/>
      <c r="Q833" s="340"/>
      <c r="R833" s="340"/>
      <c r="S833" s="348"/>
      <c r="T833" s="348"/>
      <c r="U833" s="348"/>
      <c r="V833" s="340"/>
      <c r="W833" s="340"/>
      <c r="X833" s="340"/>
      <c r="Y833" s="340"/>
    </row>
    <row r="834" spans="1:25" ht="15" thickBot="1" x14ac:dyDescent="0.3">
      <c r="A834" s="325"/>
      <c r="B834" s="325"/>
      <c r="C834" s="325"/>
      <c r="D834" s="325"/>
      <c r="E834" s="325"/>
      <c r="F834" s="325"/>
      <c r="G834" s="325"/>
      <c r="H834" s="325"/>
      <c r="I834" s="325"/>
      <c r="J834" s="325"/>
      <c r="K834" s="339"/>
      <c r="L834" s="340"/>
      <c r="M834" s="340"/>
      <c r="N834" s="340"/>
      <c r="O834" s="340"/>
      <c r="P834" s="340"/>
      <c r="Q834" s="340"/>
      <c r="R834" s="340"/>
      <c r="S834" s="348"/>
      <c r="T834" s="348"/>
      <c r="U834" s="348"/>
      <c r="V834" s="340"/>
      <c r="W834" s="340"/>
      <c r="X834" s="340"/>
      <c r="Y834" s="340"/>
    </row>
    <row r="835" spans="1:25" ht="15" thickBot="1" x14ac:dyDescent="0.3">
      <c r="A835" s="325"/>
      <c r="B835" s="325"/>
      <c r="C835" s="325"/>
      <c r="D835" s="325"/>
      <c r="E835" s="325"/>
      <c r="F835" s="325"/>
      <c r="G835" s="325"/>
      <c r="H835" s="325"/>
      <c r="I835" s="325"/>
      <c r="J835" s="325"/>
      <c r="K835" s="339"/>
      <c r="L835" s="340"/>
      <c r="M835" s="340"/>
      <c r="N835" s="340"/>
      <c r="O835" s="340"/>
      <c r="P835" s="340"/>
      <c r="Q835" s="340"/>
      <c r="R835" s="340"/>
      <c r="S835" s="348"/>
      <c r="T835" s="348"/>
      <c r="U835" s="348"/>
      <c r="V835" s="340"/>
      <c r="W835" s="340"/>
      <c r="X835" s="340"/>
      <c r="Y835" s="340"/>
    </row>
    <row r="836" spans="1:25" ht="15" thickBot="1" x14ac:dyDescent="0.3">
      <c r="A836" s="325"/>
      <c r="B836" s="325"/>
      <c r="C836" s="325"/>
      <c r="D836" s="325"/>
      <c r="E836" s="325"/>
      <c r="F836" s="325"/>
      <c r="G836" s="325"/>
      <c r="H836" s="325"/>
      <c r="I836" s="325"/>
      <c r="J836" s="325"/>
      <c r="K836" s="339"/>
      <c r="L836" s="340"/>
      <c r="M836" s="340"/>
      <c r="N836" s="340"/>
      <c r="O836" s="340"/>
      <c r="P836" s="340"/>
      <c r="Q836" s="340"/>
      <c r="R836" s="340"/>
      <c r="S836" s="348"/>
      <c r="T836" s="348"/>
      <c r="U836" s="348"/>
      <c r="V836" s="340"/>
      <c r="W836" s="340"/>
      <c r="X836" s="340"/>
      <c r="Y836" s="340"/>
    </row>
    <row r="837" spans="1:25" ht="15" thickBot="1" x14ac:dyDescent="0.3">
      <c r="A837" s="325"/>
      <c r="B837" s="325"/>
      <c r="C837" s="325"/>
      <c r="D837" s="325"/>
      <c r="E837" s="325"/>
      <c r="F837" s="325"/>
      <c r="G837" s="325"/>
      <c r="H837" s="325"/>
      <c r="I837" s="325"/>
      <c r="J837" s="325"/>
      <c r="K837" s="339"/>
      <c r="L837" s="340"/>
      <c r="M837" s="340"/>
      <c r="N837" s="340"/>
      <c r="O837" s="340"/>
      <c r="P837" s="340"/>
      <c r="Q837" s="340"/>
      <c r="R837" s="340"/>
      <c r="S837" s="348"/>
      <c r="T837" s="348"/>
      <c r="U837" s="348"/>
      <c r="V837" s="340"/>
      <c r="W837" s="340"/>
      <c r="X837" s="340"/>
      <c r="Y837" s="340"/>
    </row>
    <row r="838" spans="1:25" ht="15" thickBot="1" x14ac:dyDescent="0.3">
      <c r="A838" s="325"/>
      <c r="B838" s="325"/>
      <c r="C838" s="325"/>
      <c r="D838" s="325"/>
      <c r="E838" s="325"/>
      <c r="F838" s="325"/>
      <c r="G838" s="325"/>
      <c r="H838" s="325"/>
      <c r="I838" s="325"/>
      <c r="J838" s="325"/>
      <c r="K838" s="339"/>
      <c r="L838" s="340"/>
      <c r="M838" s="340"/>
      <c r="N838" s="340"/>
      <c r="O838" s="340"/>
      <c r="P838" s="340"/>
      <c r="Q838" s="340"/>
      <c r="R838" s="340"/>
      <c r="S838" s="348"/>
      <c r="T838" s="348"/>
      <c r="U838" s="348"/>
      <c r="V838" s="340"/>
      <c r="W838" s="340"/>
      <c r="X838" s="340"/>
      <c r="Y838" s="340"/>
    </row>
    <row r="839" spans="1:25" ht="15" thickBot="1" x14ac:dyDescent="0.3">
      <c r="A839" s="325"/>
      <c r="B839" s="325"/>
      <c r="C839" s="325"/>
      <c r="D839" s="325"/>
      <c r="E839" s="325"/>
      <c r="F839" s="325"/>
      <c r="G839" s="325"/>
      <c r="H839" s="325"/>
      <c r="I839" s="325"/>
      <c r="J839" s="325"/>
      <c r="K839" s="339"/>
      <c r="L839" s="340"/>
      <c r="M839" s="340"/>
      <c r="N839" s="340"/>
      <c r="O839" s="340"/>
      <c r="P839" s="340"/>
      <c r="Q839" s="340"/>
      <c r="R839" s="340"/>
      <c r="S839" s="348"/>
      <c r="T839" s="348"/>
      <c r="U839" s="348"/>
      <c r="V839" s="340"/>
      <c r="W839" s="340"/>
      <c r="X839" s="340"/>
      <c r="Y839" s="340"/>
    </row>
    <row r="840" spans="1:25" ht="15" thickBot="1" x14ac:dyDescent="0.3">
      <c r="A840" s="325"/>
      <c r="B840" s="325"/>
      <c r="C840" s="325"/>
      <c r="D840" s="325"/>
      <c r="E840" s="325"/>
      <c r="F840" s="325"/>
      <c r="G840" s="325"/>
      <c r="H840" s="325"/>
      <c r="I840" s="325"/>
      <c r="J840" s="325"/>
      <c r="K840" s="339"/>
      <c r="L840" s="340"/>
      <c r="M840" s="340"/>
      <c r="N840" s="340"/>
      <c r="O840" s="340"/>
      <c r="P840" s="340"/>
      <c r="Q840" s="340"/>
      <c r="R840" s="340"/>
      <c r="S840" s="348"/>
      <c r="T840" s="348"/>
      <c r="U840" s="348"/>
      <c r="V840" s="340"/>
      <c r="W840" s="340"/>
      <c r="X840" s="340"/>
      <c r="Y840" s="340"/>
    </row>
    <row r="841" spans="1:25" ht="15" thickBot="1" x14ac:dyDescent="0.3">
      <c r="A841" s="325"/>
      <c r="B841" s="325"/>
      <c r="C841" s="325"/>
      <c r="D841" s="325"/>
      <c r="E841" s="325"/>
      <c r="F841" s="325"/>
      <c r="G841" s="325"/>
      <c r="H841" s="325"/>
      <c r="I841" s="325"/>
      <c r="J841" s="325"/>
      <c r="K841" s="339"/>
      <c r="L841" s="340"/>
      <c r="M841" s="340"/>
      <c r="N841" s="340"/>
      <c r="O841" s="340"/>
      <c r="P841" s="340"/>
      <c r="Q841" s="340"/>
      <c r="R841" s="340"/>
      <c r="S841" s="348"/>
      <c r="T841" s="348"/>
      <c r="U841" s="348"/>
      <c r="V841" s="340"/>
      <c r="W841" s="340"/>
      <c r="X841" s="340"/>
      <c r="Y841" s="340"/>
    </row>
    <row r="842" spans="1:25" ht="15" thickBot="1" x14ac:dyDescent="0.3">
      <c r="A842" s="325"/>
      <c r="B842" s="325"/>
      <c r="C842" s="325"/>
      <c r="D842" s="325"/>
      <c r="E842" s="325"/>
      <c r="F842" s="325"/>
      <c r="G842" s="325"/>
      <c r="H842" s="325"/>
      <c r="I842" s="325"/>
      <c r="J842" s="325"/>
      <c r="K842" s="339"/>
      <c r="L842" s="340"/>
      <c r="M842" s="340"/>
      <c r="N842" s="340"/>
      <c r="O842" s="340"/>
      <c r="P842" s="340"/>
      <c r="Q842" s="340"/>
      <c r="R842" s="340"/>
      <c r="S842" s="348"/>
      <c r="T842" s="348"/>
      <c r="U842" s="348"/>
      <c r="V842" s="340"/>
      <c r="W842" s="340"/>
      <c r="X842" s="340"/>
      <c r="Y842" s="340"/>
    </row>
    <row r="843" spans="1:25" ht="15" thickBot="1" x14ac:dyDescent="0.3">
      <c r="A843" s="325"/>
      <c r="B843" s="325"/>
      <c r="C843" s="325"/>
      <c r="D843" s="325"/>
      <c r="E843" s="325"/>
      <c r="F843" s="325"/>
      <c r="G843" s="325"/>
      <c r="H843" s="325"/>
      <c r="I843" s="325"/>
      <c r="J843" s="325"/>
      <c r="K843" s="339"/>
      <c r="L843" s="340"/>
      <c r="M843" s="340"/>
      <c r="N843" s="340"/>
      <c r="O843" s="340"/>
      <c r="P843" s="340"/>
      <c r="Q843" s="340"/>
      <c r="R843" s="340"/>
      <c r="S843" s="348"/>
      <c r="T843" s="348"/>
      <c r="U843" s="348"/>
      <c r="V843" s="340"/>
      <c r="W843" s="340"/>
      <c r="X843" s="340"/>
      <c r="Y843" s="340"/>
    </row>
    <row r="844" spans="1:25" ht="15" thickBot="1" x14ac:dyDescent="0.3">
      <c r="A844" s="325"/>
      <c r="B844" s="325"/>
      <c r="C844" s="325"/>
      <c r="D844" s="325"/>
      <c r="E844" s="325"/>
      <c r="F844" s="325"/>
      <c r="G844" s="325"/>
      <c r="H844" s="325"/>
      <c r="I844" s="325"/>
      <c r="J844" s="325"/>
      <c r="K844" s="339"/>
      <c r="L844" s="340"/>
      <c r="M844" s="340"/>
      <c r="N844" s="340"/>
      <c r="O844" s="340"/>
      <c r="P844" s="340"/>
      <c r="Q844" s="340"/>
      <c r="R844" s="340"/>
      <c r="S844" s="348"/>
      <c r="T844" s="348"/>
      <c r="U844" s="348"/>
      <c r="V844" s="340"/>
      <c r="W844" s="340"/>
      <c r="X844" s="340"/>
      <c r="Y844" s="340"/>
    </row>
    <row r="845" spans="1:25" ht="15" thickBot="1" x14ac:dyDescent="0.3">
      <c r="A845" s="325"/>
      <c r="B845" s="325"/>
      <c r="C845" s="325"/>
      <c r="D845" s="325"/>
      <c r="E845" s="325"/>
      <c r="F845" s="325"/>
      <c r="G845" s="325"/>
      <c r="H845" s="325"/>
      <c r="I845" s="325"/>
      <c r="J845" s="325"/>
      <c r="K845" s="339"/>
      <c r="L845" s="340"/>
      <c r="M845" s="340"/>
      <c r="N845" s="340"/>
      <c r="O845" s="340"/>
      <c r="P845" s="340"/>
      <c r="Q845" s="340"/>
      <c r="R845" s="340"/>
      <c r="S845" s="348"/>
      <c r="T845" s="348"/>
      <c r="U845" s="348"/>
      <c r="V845" s="340"/>
      <c r="W845" s="340"/>
      <c r="X845" s="340"/>
      <c r="Y845" s="340"/>
    </row>
    <row r="846" spans="1:25" ht="15" thickBot="1" x14ac:dyDescent="0.3">
      <c r="A846" s="325"/>
      <c r="B846" s="325"/>
      <c r="C846" s="325"/>
      <c r="D846" s="325"/>
      <c r="E846" s="325"/>
      <c r="F846" s="325"/>
      <c r="G846" s="325"/>
      <c r="H846" s="325"/>
      <c r="I846" s="325"/>
      <c r="J846" s="325"/>
      <c r="K846" s="339"/>
      <c r="L846" s="340"/>
      <c r="M846" s="340"/>
      <c r="N846" s="340"/>
      <c r="O846" s="340"/>
      <c r="P846" s="340"/>
      <c r="Q846" s="340"/>
      <c r="R846" s="340"/>
      <c r="S846" s="348"/>
      <c r="T846" s="348"/>
      <c r="U846" s="348"/>
      <c r="V846" s="340"/>
      <c r="W846" s="340"/>
      <c r="X846" s="340"/>
      <c r="Y846" s="340"/>
    </row>
    <row r="847" spans="1:25" ht="15" thickBot="1" x14ac:dyDescent="0.3">
      <c r="A847" s="325"/>
      <c r="B847" s="325"/>
      <c r="C847" s="325"/>
      <c r="D847" s="325"/>
      <c r="E847" s="325"/>
      <c r="F847" s="325"/>
      <c r="G847" s="325"/>
      <c r="H847" s="325"/>
      <c r="I847" s="325"/>
      <c r="J847" s="325"/>
      <c r="K847" s="339"/>
      <c r="L847" s="340"/>
      <c r="M847" s="340"/>
      <c r="N847" s="340"/>
      <c r="O847" s="340"/>
      <c r="P847" s="340"/>
      <c r="Q847" s="340"/>
      <c r="R847" s="340"/>
      <c r="S847" s="348"/>
      <c r="T847" s="348"/>
      <c r="U847" s="348"/>
      <c r="V847" s="340"/>
      <c r="W847" s="340"/>
      <c r="X847" s="340"/>
      <c r="Y847" s="340"/>
    </row>
    <row r="848" spans="1:25" ht="15" thickBot="1" x14ac:dyDescent="0.3">
      <c r="A848" s="325"/>
      <c r="B848" s="325"/>
      <c r="C848" s="325"/>
      <c r="D848" s="325"/>
      <c r="E848" s="325"/>
      <c r="F848" s="325"/>
      <c r="G848" s="325"/>
      <c r="H848" s="325"/>
      <c r="I848" s="325"/>
      <c r="J848" s="325"/>
      <c r="K848" s="339"/>
      <c r="L848" s="340"/>
      <c r="M848" s="340"/>
      <c r="N848" s="340"/>
      <c r="O848" s="340"/>
      <c r="P848" s="340"/>
      <c r="Q848" s="340"/>
      <c r="R848" s="340"/>
      <c r="S848" s="348"/>
      <c r="T848" s="348"/>
      <c r="U848" s="348"/>
      <c r="V848" s="340"/>
      <c r="W848" s="340"/>
      <c r="X848" s="340"/>
      <c r="Y848" s="340"/>
    </row>
    <row r="849" spans="1:25" ht="15" thickBot="1" x14ac:dyDescent="0.3">
      <c r="A849" s="325"/>
      <c r="B849" s="325"/>
      <c r="C849" s="325"/>
      <c r="D849" s="325"/>
      <c r="E849" s="325"/>
      <c r="F849" s="325"/>
      <c r="G849" s="325"/>
      <c r="H849" s="325"/>
      <c r="I849" s="325"/>
      <c r="J849" s="325"/>
      <c r="K849" s="339"/>
      <c r="L849" s="340"/>
      <c r="M849" s="340"/>
      <c r="N849" s="340"/>
      <c r="O849" s="340"/>
      <c r="P849" s="340"/>
      <c r="Q849" s="340"/>
      <c r="R849" s="340"/>
      <c r="S849" s="348"/>
      <c r="T849" s="348"/>
      <c r="U849" s="348"/>
      <c r="V849" s="340"/>
      <c r="W849" s="340"/>
      <c r="X849" s="340"/>
      <c r="Y849" s="340"/>
    </row>
    <row r="850" spans="1:25" ht="15" thickBot="1" x14ac:dyDescent="0.3">
      <c r="A850" s="325"/>
      <c r="B850" s="325"/>
      <c r="C850" s="325"/>
      <c r="D850" s="325"/>
      <c r="E850" s="325"/>
      <c r="F850" s="325"/>
      <c r="G850" s="325"/>
      <c r="H850" s="325"/>
      <c r="I850" s="325"/>
      <c r="J850" s="325"/>
      <c r="K850" s="339"/>
      <c r="L850" s="340"/>
      <c r="M850" s="340"/>
      <c r="N850" s="340"/>
      <c r="O850" s="340"/>
      <c r="P850" s="340"/>
      <c r="Q850" s="340"/>
      <c r="R850" s="340"/>
      <c r="S850" s="348"/>
      <c r="T850" s="348"/>
      <c r="U850" s="348"/>
      <c r="V850" s="340"/>
      <c r="W850" s="340"/>
      <c r="X850" s="340"/>
      <c r="Y850" s="340"/>
    </row>
    <row r="851" spans="1:25" ht="15" thickBot="1" x14ac:dyDescent="0.3">
      <c r="A851" s="325"/>
      <c r="B851" s="325"/>
      <c r="C851" s="325"/>
      <c r="D851" s="325"/>
      <c r="E851" s="325"/>
      <c r="F851" s="325"/>
      <c r="G851" s="325"/>
      <c r="H851" s="325"/>
      <c r="I851" s="325"/>
      <c r="J851" s="325"/>
      <c r="K851" s="339"/>
      <c r="L851" s="340"/>
      <c r="M851" s="340"/>
      <c r="N851" s="340"/>
      <c r="O851" s="340"/>
      <c r="P851" s="340"/>
      <c r="Q851" s="340"/>
      <c r="R851" s="340"/>
      <c r="S851" s="348"/>
      <c r="T851" s="348"/>
      <c r="U851" s="348"/>
      <c r="V851" s="340"/>
      <c r="W851" s="340"/>
      <c r="X851" s="340"/>
      <c r="Y851" s="340"/>
    </row>
    <row r="852" spans="1:25" ht="15" thickBot="1" x14ac:dyDescent="0.3">
      <c r="A852" s="325"/>
      <c r="B852" s="325"/>
      <c r="C852" s="325"/>
      <c r="D852" s="325"/>
      <c r="E852" s="325"/>
      <c r="F852" s="325"/>
      <c r="G852" s="325"/>
      <c r="H852" s="325"/>
      <c r="I852" s="325"/>
      <c r="J852" s="325"/>
      <c r="K852" s="339"/>
      <c r="L852" s="340"/>
      <c r="M852" s="340"/>
      <c r="N852" s="340"/>
      <c r="O852" s="340"/>
      <c r="P852" s="340"/>
      <c r="Q852" s="340"/>
      <c r="R852" s="340"/>
      <c r="S852" s="348"/>
      <c r="T852" s="348"/>
      <c r="U852" s="348"/>
      <c r="V852" s="340"/>
      <c r="W852" s="340"/>
      <c r="X852" s="340"/>
      <c r="Y852" s="340"/>
    </row>
    <row r="853" spans="1:25" ht="15" thickBot="1" x14ac:dyDescent="0.3">
      <c r="A853" s="325"/>
      <c r="B853" s="325"/>
      <c r="C853" s="325"/>
      <c r="D853" s="325"/>
      <c r="E853" s="325"/>
      <c r="F853" s="325"/>
      <c r="G853" s="325"/>
      <c r="H853" s="325"/>
      <c r="I853" s="325"/>
      <c r="J853" s="325"/>
      <c r="K853" s="339"/>
      <c r="L853" s="340"/>
      <c r="M853" s="340"/>
      <c r="N853" s="340"/>
      <c r="O853" s="340"/>
      <c r="P853" s="340"/>
      <c r="Q853" s="340"/>
      <c r="R853" s="340"/>
      <c r="S853" s="348"/>
      <c r="T853" s="348"/>
      <c r="U853" s="348"/>
      <c r="V853" s="340"/>
      <c r="W853" s="340"/>
      <c r="X853" s="340"/>
      <c r="Y853" s="340"/>
    </row>
    <row r="854" spans="1:25" ht="15" thickBot="1" x14ac:dyDescent="0.3">
      <c r="A854" s="325"/>
      <c r="B854" s="325"/>
      <c r="C854" s="325"/>
      <c r="D854" s="325"/>
      <c r="E854" s="325"/>
      <c r="F854" s="325"/>
      <c r="G854" s="325"/>
      <c r="H854" s="325"/>
      <c r="I854" s="325"/>
      <c r="J854" s="325"/>
      <c r="K854" s="339"/>
      <c r="L854" s="340"/>
      <c r="M854" s="340"/>
      <c r="N854" s="340"/>
      <c r="O854" s="340"/>
      <c r="P854" s="340"/>
      <c r="Q854" s="340"/>
      <c r="R854" s="340"/>
      <c r="S854" s="348"/>
      <c r="T854" s="348"/>
      <c r="U854" s="348"/>
      <c r="V854" s="340"/>
      <c r="W854" s="340"/>
      <c r="X854" s="340"/>
      <c r="Y854" s="340"/>
    </row>
    <row r="855" spans="1:25" ht="15" thickBot="1" x14ac:dyDescent="0.3">
      <c r="A855" s="325"/>
      <c r="B855" s="325"/>
      <c r="C855" s="325"/>
      <c r="D855" s="325"/>
      <c r="E855" s="325"/>
      <c r="F855" s="325"/>
      <c r="G855" s="325"/>
      <c r="H855" s="325"/>
      <c r="I855" s="325"/>
      <c r="J855" s="325"/>
      <c r="K855" s="339"/>
      <c r="L855" s="340"/>
      <c r="M855" s="340"/>
      <c r="N855" s="340"/>
      <c r="O855" s="340"/>
      <c r="P855" s="340"/>
      <c r="Q855" s="340"/>
      <c r="R855" s="340"/>
      <c r="S855" s="348"/>
      <c r="T855" s="348"/>
      <c r="U855" s="348"/>
      <c r="V855" s="340"/>
      <c r="W855" s="340"/>
      <c r="X855" s="340"/>
      <c r="Y855" s="340"/>
    </row>
    <row r="856" spans="1:25" ht="15" thickBot="1" x14ac:dyDescent="0.3">
      <c r="A856" s="325"/>
      <c r="B856" s="325"/>
      <c r="C856" s="325"/>
      <c r="D856" s="325"/>
      <c r="E856" s="325"/>
      <c r="F856" s="325"/>
      <c r="G856" s="325"/>
      <c r="H856" s="325"/>
      <c r="I856" s="325"/>
      <c r="J856" s="325"/>
      <c r="K856" s="339"/>
      <c r="L856" s="340"/>
      <c r="M856" s="340"/>
      <c r="N856" s="340"/>
      <c r="O856" s="340"/>
      <c r="P856" s="340"/>
      <c r="Q856" s="340"/>
      <c r="R856" s="340"/>
      <c r="S856" s="348"/>
      <c r="T856" s="348"/>
      <c r="U856" s="348"/>
      <c r="V856" s="340"/>
      <c r="W856" s="340"/>
      <c r="X856" s="340"/>
      <c r="Y856" s="340"/>
    </row>
    <row r="857" spans="1:25" ht="15" thickBot="1" x14ac:dyDescent="0.3">
      <c r="A857" s="325"/>
      <c r="B857" s="325"/>
      <c r="C857" s="325"/>
      <c r="D857" s="325"/>
      <c r="E857" s="325"/>
      <c r="F857" s="325"/>
      <c r="G857" s="325"/>
      <c r="H857" s="325"/>
      <c r="I857" s="325"/>
      <c r="J857" s="325"/>
      <c r="K857" s="339"/>
      <c r="L857" s="340"/>
      <c r="M857" s="340"/>
      <c r="N857" s="340"/>
      <c r="O857" s="340"/>
      <c r="P857" s="340"/>
      <c r="Q857" s="340"/>
      <c r="R857" s="340"/>
      <c r="S857" s="348"/>
      <c r="T857" s="348"/>
      <c r="U857" s="348"/>
      <c r="V857" s="340"/>
      <c r="W857" s="340"/>
      <c r="X857" s="340"/>
      <c r="Y857" s="340"/>
    </row>
    <row r="858" spans="1:25" ht="15" thickBot="1" x14ac:dyDescent="0.3">
      <c r="A858" s="325"/>
      <c r="B858" s="325"/>
      <c r="C858" s="325"/>
      <c r="D858" s="325"/>
      <c r="E858" s="325"/>
      <c r="F858" s="325"/>
      <c r="G858" s="325"/>
      <c r="H858" s="325"/>
      <c r="I858" s="325"/>
      <c r="J858" s="325"/>
      <c r="K858" s="339"/>
      <c r="L858" s="340"/>
      <c r="M858" s="340"/>
      <c r="N858" s="340"/>
      <c r="O858" s="340"/>
      <c r="P858" s="340"/>
      <c r="Q858" s="340"/>
      <c r="R858" s="340"/>
      <c r="S858" s="348"/>
      <c r="T858" s="348"/>
      <c r="U858" s="348"/>
      <c r="V858" s="340"/>
      <c r="W858" s="340"/>
      <c r="X858" s="340"/>
      <c r="Y858" s="340"/>
    </row>
    <row r="859" spans="1:25" ht="15" thickBot="1" x14ac:dyDescent="0.3">
      <c r="A859" s="325"/>
      <c r="B859" s="325"/>
      <c r="C859" s="325"/>
      <c r="D859" s="325"/>
      <c r="E859" s="325"/>
      <c r="F859" s="325"/>
      <c r="G859" s="325"/>
      <c r="H859" s="325"/>
      <c r="I859" s="325"/>
      <c r="J859" s="325"/>
      <c r="K859" s="339"/>
      <c r="L859" s="340"/>
      <c r="M859" s="340"/>
      <c r="N859" s="340"/>
      <c r="O859" s="340"/>
      <c r="P859" s="340"/>
      <c r="Q859" s="340"/>
      <c r="R859" s="340"/>
      <c r="S859" s="348"/>
      <c r="T859" s="348"/>
      <c r="U859" s="348"/>
      <c r="V859" s="340"/>
      <c r="W859" s="340"/>
      <c r="X859" s="340"/>
      <c r="Y859" s="340"/>
    </row>
    <row r="860" spans="1:25" ht="15" thickBot="1" x14ac:dyDescent="0.3">
      <c r="A860" s="325"/>
      <c r="B860" s="325"/>
      <c r="C860" s="325"/>
      <c r="D860" s="325"/>
      <c r="E860" s="325"/>
      <c r="F860" s="325"/>
      <c r="G860" s="325"/>
      <c r="H860" s="325"/>
      <c r="I860" s="325"/>
      <c r="J860" s="325"/>
      <c r="K860" s="339"/>
      <c r="L860" s="340"/>
      <c r="M860" s="340"/>
      <c r="N860" s="340"/>
      <c r="O860" s="340"/>
      <c r="P860" s="340"/>
      <c r="Q860" s="340"/>
      <c r="R860" s="340"/>
      <c r="S860" s="348"/>
      <c r="T860" s="348"/>
      <c r="U860" s="348"/>
      <c r="V860" s="340"/>
      <c r="W860" s="340"/>
      <c r="X860" s="340"/>
      <c r="Y860" s="340"/>
    </row>
    <row r="861" spans="1:25" ht="15" thickBot="1" x14ac:dyDescent="0.3">
      <c r="A861" s="325"/>
      <c r="B861" s="325"/>
      <c r="C861" s="325"/>
      <c r="D861" s="325"/>
      <c r="E861" s="325"/>
      <c r="F861" s="325"/>
      <c r="G861" s="325"/>
      <c r="H861" s="325"/>
      <c r="I861" s="325"/>
      <c r="J861" s="325"/>
      <c r="K861" s="339"/>
      <c r="L861" s="340"/>
      <c r="M861" s="340"/>
      <c r="N861" s="340"/>
      <c r="O861" s="340"/>
      <c r="P861" s="340"/>
      <c r="Q861" s="340"/>
      <c r="R861" s="340"/>
      <c r="S861" s="348"/>
      <c r="T861" s="348"/>
      <c r="U861" s="348"/>
      <c r="V861" s="340"/>
      <c r="W861" s="340"/>
      <c r="X861" s="340"/>
      <c r="Y861" s="340"/>
    </row>
    <row r="862" spans="1:25" ht="15" thickBot="1" x14ac:dyDescent="0.3">
      <c r="A862" s="325"/>
      <c r="B862" s="325"/>
      <c r="C862" s="325"/>
      <c r="D862" s="325"/>
      <c r="E862" s="325"/>
      <c r="F862" s="325"/>
      <c r="G862" s="325"/>
      <c r="H862" s="325"/>
      <c r="I862" s="325"/>
      <c r="J862" s="325"/>
      <c r="K862" s="339"/>
      <c r="L862" s="340"/>
      <c r="M862" s="340"/>
      <c r="N862" s="340"/>
      <c r="O862" s="340"/>
      <c r="P862" s="340"/>
      <c r="Q862" s="340"/>
      <c r="R862" s="340"/>
      <c r="S862" s="348"/>
      <c r="T862" s="348"/>
      <c r="U862" s="348"/>
      <c r="V862" s="340"/>
      <c r="W862" s="340"/>
      <c r="X862" s="340"/>
      <c r="Y862" s="340"/>
    </row>
    <row r="863" spans="1:25" ht="15" thickBot="1" x14ac:dyDescent="0.3">
      <c r="A863" s="325"/>
      <c r="B863" s="325"/>
      <c r="C863" s="325"/>
      <c r="D863" s="325"/>
      <c r="E863" s="325"/>
      <c r="F863" s="325"/>
      <c r="G863" s="325"/>
      <c r="H863" s="325"/>
      <c r="I863" s="325"/>
      <c r="J863" s="325"/>
      <c r="K863" s="339"/>
      <c r="L863" s="340"/>
      <c r="M863" s="340"/>
      <c r="N863" s="340"/>
      <c r="O863" s="340"/>
      <c r="P863" s="340"/>
      <c r="Q863" s="340"/>
      <c r="R863" s="340"/>
      <c r="S863" s="348"/>
      <c r="T863" s="348"/>
      <c r="U863" s="348"/>
      <c r="V863" s="340"/>
      <c r="W863" s="340"/>
      <c r="X863" s="340"/>
      <c r="Y863" s="340"/>
    </row>
    <row r="864" spans="1:25" ht="15" thickBot="1" x14ac:dyDescent="0.3">
      <c r="A864" s="325"/>
      <c r="B864" s="325"/>
      <c r="C864" s="325"/>
      <c r="D864" s="325"/>
      <c r="E864" s="325"/>
      <c r="F864" s="325"/>
      <c r="G864" s="325"/>
      <c r="H864" s="325"/>
      <c r="I864" s="325"/>
      <c r="J864" s="325"/>
      <c r="K864" s="339"/>
      <c r="L864" s="340"/>
      <c r="M864" s="340"/>
      <c r="N864" s="340"/>
      <c r="O864" s="340"/>
      <c r="P864" s="340"/>
      <c r="Q864" s="340"/>
      <c r="R864" s="340"/>
      <c r="S864" s="348"/>
      <c r="T864" s="348"/>
      <c r="U864" s="348"/>
      <c r="V864" s="340"/>
      <c r="W864" s="340"/>
      <c r="X864" s="340"/>
      <c r="Y864" s="340"/>
    </row>
    <row r="865" spans="1:25" ht="15" thickBot="1" x14ac:dyDescent="0.3">
      <c r="A865" s="325"/>
      <c r="B865" s="325"/>
      <c r="C865" s="325"/>
      <c r="D865" s="325"/>
      <c r="E865" s="325"/>
      <c r="F865" s="325"/>
      <c r="G865" s="325"/>
      <c r="H865" s="325"/>
      <c r="I865" s="325"/>
      <c r="J865" s="325"/>
      <c r="K865" s="339"/>
      <c r="L865" s="340"/>
      <c r="M865" s="340"/>
      <c r="N865" s="340"/>
      <c r="O865" s="340"/>
      <c r="P865" s="340"/>
      <c r="Q865" s="340"/>
      <c r="R865" s="340"/>
      <c r="S865" s="348"/>
      <c r="T865" s="348"/>
      <c r="U865" s="348"/>
      <c r="V865" s="340"/>
      <c r="W865" s="340"/>
      <c r="X865" s="340"/>
      <c r="Y865" s="340"/>
    </row>
    <row r="866" spans="1:25" ht="15" thickBot="1" x14ac:dyDescent="0.3">
      <c r="A866" s="325"/>
      <c r="B866" s="325"/>
      <c r="C866" s="325"/>
      <c r="D866" s="325"/>
      <c r="E866" s="325"/>
      <c r="F866" s="325"/>
      <c r="G866" s="325"/>
      <c r="H866" s="325"/>
      <c r="I866" s="325"/>
      <c r="J866" s="325"/>
      <c r="K866" s="339"/>
      <c r="L866" s="340"/>
      <c r="M866" s="340"/>
      <c r="N866" s="340"/>
      <c r="O866" s="340"/>
      <c r="P866" s="340"/>
      <c r="Q866" s="340"/>
      <c r="R866" s="340"/>
      <c r="S866" s="348"/>
      <c r="T866" s="348"/>
      <c r="U866" s="348"/>
      <c r="V866" s="340"/>
      <c r="W866" s="340"/>
      <c r="X866" s="340"/>
      <c r="Y866" s="340"/>
    </row>
    <row r="867" spans="1:25" ht="15" thickBot="1" x14ac:dyDescent="0.3">
      <c r="A867" s="325"/>
      <c r="B867" s="325"/>
      <c r="C867" s="325"/>
      <c r="D867" s="325"/>
      <c r="E867" s="325"/>
      <c r="F867" s="325"/>
      <c r="G867" s="325"/>
      <c r="H867" s="325"/>
      <c r="I867" s="325"/>
      <c r="J867" s="325"/>
      <c r="K867" s="339"/>
      <c r="L867" s="340"/>
      <c r="M867" s="340"/>
      <c r="N867" s="340"/>
      <c r="O867" s="340"/>
      <c r="P867" s="340"/>
      <c r="Q867" s="340"/>
      <c r="R867" s="340"/>
      <c r="S867" s="348"/>
      <c r="T867" s="348"/>
      <c r="U867" s="348"/>
      <c r="V867" s="340"/>
      <c r="W867" s="340"/>
      <c r="X867" s="340"/>
      <c r="Y867" s="340"/>
    </row>
    <row r="868" spans="1:25" ht="15" thickBot="1" x14ac:dyDescent="0.3">
      <c r="A868" s="325"/>
      <c r="B868" s="325"/>
      <c r="C868" s="325"/>
      <c r="D868" s="325"/>
      <c r="E868" s="325"/>
      <c r="F868" s="325"/>
      <c r="G868" s="325"/>
      <c r="H868" s="325"/>
      <c r="I868" s="325"/>
      <c r="J868" s="325"/>
      <c r="K868" s="339"/>
      <c r="L868" s="340"/>
      <c r="M868" s="340"/>
      <c r="N868" s="340"/>
      <c r="O868" s="340"/>
      <c r="P868" s="340"/>
      <c r="Q868" s="340"/>
      <c r="R868" s="340"/>
      <c r="S868" s="348"/>
      <c r="T868" s="348"/>
      <c r="U868" s="348"/>
      <c r="V868" s="340"/>
      <c r="W868" s="340"/>
      <c r="X868" s="340"/>
      <c r="Y868" s="340"/>
    </row>
    <row r="869" spans="1:25" ht="15" thickBot="1" x14ac:dyDescent="0.3">
      <c r="A869" s="325"/>
      <c r="B869" s="325"/>
      <c r="C869" s="325"/>
      <c r="D869" s="325"/>
      <c r="E869" s="325"/>
      <c r="F869" s="325"/>
      <c r="G869" s="325"/>
      <c r="H869" s="325"/>
      <c r="I869" s="325"/>
      <c r="J869" s="325"/>
      <c r="K869" s="339"/>
      <c r="L869" s="340"/>
      <c r="M869" s="340"/>
      <c r="N869" s="340"/>
      <c r="O869" s="340"/>
      <c r="P869" s="340"/>
      <c r="Q869" s="340"/>
      <c r="R869" s="340"/>
      <c r="S869" s="348"/>
      <c r="T869" s="348"/>
      <c r="U869" s="348"/>
      <c r="V869" s="340"/>
      <c r="W869" s="340"/>
      <c r="X869" s="340"/>
      <c r="Y869" s="340"/>
    </row>
    <row r="870" spans="1:25" ht="15" thickBot="1" x14ac:dyDescent="0.3">
      <c r="A870" s="325"/>
      <c r="B870" s="325"/>
      <c r="C870" s="325"/>
      <c r="D870" s="325"/>
      <c r="E870" s="325"/>
      <c r="F870" s="325"/>
      <c r="G870" s="325"/>
      <c r="H870" s="325"/>
      <c r="I870" s="325"/>
      <c r="J870" s="325"/>
      <c r="K870" s="339"/>
      <c r="L870" s="340"/>
      <c r="M870" s="340"/>
      <c r="N870" s="340"/>
      <c r="O870" s="340"/>
      <c r="P870" s="340"/>
      <c r="Q870" s="340"/>
      <c r="R870" s="340"/>
      <c r="S870" s="348"/>
      <c r="T870" s="348"/>
      <c r="U870" s="348"/>
      <c r="V870" s="340"/>
      <c r="W870" s="340"/>
      <c r="X870" s="340"/>
      <c r="Y870" s="340"/>
    </row>
    <row r="871" spans="1:25" ht="15" thickBot="1" x14ac:dyDescent="0.3">
      <c r="A871" s="325"/>
      <c r="B871" s="325"/>
      <c r="C871" s="325"/>
      <c r="D871" s="325"/>
      <c r="E871" s="325"/>
      <c r="F871" s="325"/>
      <c r="G871" s="325"/>
      <c r="H871" s="325"/>
      <c r="I871" s="325"/>
      <c r="J871" s="325"/>
      <c r="K871" s="339"/>
      <c r="L871" s="340"/>
      <c r="M871" s="340"/>
      <c r="N871" s="340"/>
      <c r="O871" s="340"/>
      <c r="P871" s="340"/>
      <c r="Q871" s="340"/>
      <c r="R871" s="340"/>
      <c r="S871" s="348"/>
      <c r="T871" s="348"/>
      <c r="U871" s="348"/>
      <c r="V871" s="340"/>
      <c r="W871" s="340"/>
      <c r="X871" s="340"/>
      <c r="Y871" s="340"/>
    </row>
    <row r="872" spans="1:25" ht="15" thickBot="1" x14ac:dyDescent="0.3">
      <c r="A872" s="325"/>
      <c r="B872" s="325"/>
      <c r="C872" s="325"/>
      <c r="D872" s="325"/>
      <c r="E872" s="325"/>
      <c r="F872" s="325"/>
      <c r="G872" s="325"/>
      <c r="H872" s="325"/>
      <c r="I872" s="325"/>
      <c r="J872" s="325"/>
      <c r="K872" s="339"/>
      <c r="L872" s="340"/>
      <c r="M872" s="340"/>
      <c r="N872" s="340"/>
      <c r="O872" s="340"/>
      <c r="P872" s="340"/>
      <c r="Q872" s="340"/>
      <c r="R872" s="340"/>
      <c r="S872" s="348"/>
      <c r="T872" s="348"/>
      <c r="U872" s="348"/>
      <c r="V872" s="340"/>
      <c r="W872" s="340"/>
      <c r="X872" s="340"/>
      <c r="Y872" s="340"/>
    </row>
    <row r="873" spans="1:25" ht="15" thickBot="1" x14ac:dyDescent="0.3">
      <c r="A873" s="325"/>
      <c r="B873" s="325"/>
      <c r="C873" s="325"/>
      <c r="D873" s="325"/>
      <c r="E873" s="325"/>
      <c r="F873" s="325"/>
      <c r="G873" s="325"/>
      <c r="H873" s="325"/>
      <c r="I873" s="325"/>
      <c r="J873" s="325"/>
      <c r="K873" s="339"/>
      <c r="L873" s="340"/>
      <c r="M873" s="340"/>
      <c r="N873" s="340"/>
      <c r="O873" s="340"/>
      <c r="P873" s="340"/>
      <c r="Q873" s="340"/>
      <c r="R873" s="340"/>
      <c r="S873" s="348"/>
      <c r="T873" s="348"/>
      <c r="U873" s="348"/>
      <c r="V873" s="340"/>
      <c r="W873" s="340"/>
      <c r="X873" s="340"/>
      <c r="Y873" s="340"/>
    </row>
    <row r="874" spans="1:25" ht="15" thickBot="1" x14ac:dyDescent="0.3">
      <c r="A874" s="325"/>
      <c r="B874" s="325"/>
      <c r="C874" s="325"/>
      <c r="D874" s="325"/>
      <c r="E874" s="325"/>
      <c r="F874" s="325"/>
      <c r="G874" s="325"/>
      <c r="H874" s="325"/>
      <c r="I874" s="325"/>
      <c r="J874" s="325"/>
      <c r="K874" s="339"/>
      <c r="L874" s="340"/>
      <c r="M874" s="340"/>
      <c r="N874" s="340"/>
      <c r="O874" s="340"/>
      <c r="P874" s="340"/>
      <c r="Q874" s="340"/>
      <c r="R874" s="340"/>
      <c r="S874" s="348"/>
      <c r="T874" s="348"/>
      <c r="U874" s="348"/>
      <c r="V874" s="340"/>
      <c r="W874" s="340"/>
      <c r="X874" s="340"/>
      <c r="Y874" s="340"/>
    </row>
    <row r="875" spans="1:25" ht="15" thickBot="1" x14ac:dyDescent="0.3">
      <c r="A875" s="325"/>
      <c r="B875" s="325"/>
      <c r="C875" s="325"/>
      <c r="D875" s="325"/>
      <c r="E875" s="325"/>
      <c r="F875" s="325"/>
      <c r="G875" s="325"/>
      <c r="H875" s="325"/>
      <c r="I875" s="325"/>
      <c r="J875" s="325"/>
      <c r="K875" s="339"/>
      <c r="L875" s="340"/>
      <c r="M875" s="340"/>
      <c r="N875" s="340"/>
      <c r="O875" s="340"/>
      <c r="P875" s="340"/>
      <c r="Q875" s="340"/>
      <c r="R875" s="340"/>
      <c r="S875" s="348"/>
      <c r="T875" s="348"/>
      <c r="U875" s="348"/>
      <c r="V875" s="340"/>
      <c r="W875" s="340"/>
      <c r="X875" s="340"/>
      <c r="Y875" s="340"/>
    </row>
    <row r="876" spans="1:25" ht="15" thickBot="1" x14ac:dyDescent="0.3">
      <c r="A876" s="325"/>
      <c r="B876" s="325"/>
      <c r="C876" s="325"/>
      <c r="D876" s="325"/>
      <c r="E876" s="325"/>
      <c r="F876" s="325"/>
      <c r="G876" s="325"/>
      <c r="H876" s="325"/>
      <c r="I876" s="325"/>
      <c r="J876" s="325"/>
      <c r="K876" s="339"/>
      <c r="L876" s="340"/>
      <c r="M876" s="340"/>
      <c r="N876" s="340"/>
      <c r="O876" s="340"/>
      <c r="P876" s="340"/>
      <c r="Q876" s="340"/>
      <c r="R876" s="340"/>
      <c r="S876" s="348"/>
      <c r="T876" s="348"/>
      <c r="U876" s="348"/>
      <c r="V876" s="340"/>
      <c r="W876" s="340"/>
      <c r="X876" s="340"/>
      <c r="Y876" s="340"/>
    </row>
    <row r="877" spans="1:25" ht="15" thickBot="1" x14ac:dyDescent="0.3">
      <c r="A877" s="325"/>
      <c r="B877" s="325"/>
      <c r="C877" s="325"/>
      <c r="D877" s="325"/>
      <c r="E877" s="325"/>
      <c r="F877" s="325"/>
      <c r="G877" s="325"/>
      <c r="H877" s="325"/>
      <c r="I877" s="325"/>
      <c r="J877" s="325"/>
      <c r="K877" s="339"/>
      <c r="L877" s="340"/>
      <c r="M877" s="340"/>
      <c r="N877" s="340"/>
      <c r="O877" s="340"/>
      <c r="P877" s="340"/>
      <c r="Q877" s="340"/>
      <c r="R877" s="340"/>
      <c r="S877" s="348"/>
      <c r="T877" s="348"/>
      <c r="U877" s="348"/>
      <c r="V877" s="340"/>
      <c r="W877" s="340"/>
      <c r="X877" s="340"/>
      <c r="Y877" s="340"/>
    </row>
    <row r="878" spans="1:25" ht="15" thickBot="1" x14ac:dyDescent="0.3">
      <c r="A878" s="325"/>
      <c r="B878" s="325"/>
      <c r="C878" s="325"/>
      <c r="D878" s="325"/>
      <c r="E878" s="325"/>
      <c r="F878" s="325"/>
      <c r="G878" s="325"/>
      <c r="H878" s="325"/>
      <c r="I878" s="325"/>
      <c r="J878" s="325"/>
      <c r="K878" s="339"/>
      <c r="L878" s="340"/>
      <c r="M878" s="340"/>
      <c r="N878" s="340"/>
      <c r="O878" s="340"/>
      <c r="P878" s="340"/>
      <c r="Q878" s="340"/>
      <c r="R878" s="340"/>
      <c r="S878" s="348"/>
      <c r="T878" s="348"/>
      <c r="U878" s="348"/>
      <c r="V878" s="340"/>
      <c r="W878" s="340"/>
      <c r="X878" s="340"/>
      <c r="Y878" s="340"/>
    </row>
    <row r="879" spans="1:25" ht="15" thickBot="1" x14ac:dyDescent="0.3">
      <c r="A879" s="325"/>
      <c r="B879" s="325"/>
      <c r="C879" s="325"/>
      <c r="D879" s="325"/>
      <c r="E879" s="325"/>
      <c r="F879" s="325"/>
      <c r="G879" s="325"/>
      <c r="H879" s="325"/>
      <c r="I879" s="325"/>
      <c r="J879" s="325"/>
      <c r="K879" s="339"/>
      <c r="L879" s="340"/>
      <c r="M879" s="340"/>
      <c r="N879" s="340"/>
      <c r="O879" s="340"/>
      <c r="P879" s="340"/>
      <c r="Q879" s="340"/>
      <c r="R879" s="340"/>
      <c r="S879" s="348"/>
      <c r="T879" s="348"/>
      <c r="U879" s="348"/>
      <c r="V879" s="340"/>
      <c r="W879" s="340"/>
      <c r="X879" s="340"/>
      <c r="Y879" s="340"/>
    </row>
    <row r="880" spans="1:25" ht="15" thickBot="1" x14ac:dyDescent="0.3">
      <c r="A880" s="325"/>
      <c r="B880" s="325"/>
      <c r="C880" s="325"/>
      <c r="D880" s="325"/>
      <c r="E880" s="325"/>
      <c r="F880" s="325"/>
      <c r="G880" s="325"/>
      <c r="H880" s="325"/>
      <c r="I880" s="325"/>
      <c r="J880" s="325"/>
      <c r="K880" s="339"/>
      <c r="L880" s="340"/>
      <c r="M880" s="340"/>
      <c r="N880" s="340"/>
      <c r="O880" s="340"/>
      <c r="P880" s="340"/>
      <c r="Q880" s="340"/>
      <c r="R880" s="340"/>
      <c r="S880" s="348"/>
      <c r="T880" s="348"/>
      <c r="U880" s="348"/>
      <c r="V880" s="340"/>
      <c r="W880" s="340"/>
      <c r="X880" s="340"/>
      <c r="Y880" s="340"/>
    </row>
    <row r="881" spans="1:25" ht="15" thickBot="1" x14ac:dyDescent="0.3">
      <c r="A881" s="325"/>
      <c r="B881" s="325"/>
      <c r="C881" s="325"/>
      <c r="D881" s="325"/>
      <c r="E881" s="325"/>
      <c r="F881" s="325"/>
      <c r="G881" s="325"/>
      <c r="H881" s="325"/>
      <c r="I881" s="325"/>
      <c r="J881" s="325"/>
      <c r="K881" s="339"/>
      <c r="L881" s="340"/>
      <c r="M881" s="340"/>
      <c r="N881" s="340"/>
      <c r="O881" s="340"/>
      <c r="P881" s="340"/>
      <c r="Q881" s="340"/>
      <c r="R881" s="340"/>
      <c r="S881" s="348"/>
      <c r="T881" s="348"/>
      <c r="U881" s="348"/>
      <c r="V881" s="340"/>
      <c r="W881" s="340"/>
      <c r="X881" s="340"/>
      <c r="Y881" s="340"/>
    </row>
    <row r="882" spans="1:25" ht="15" thickBot="1" x14ac:dyDescent="0.3">
      <c r="A882" s="325"/>
      <c r="B882" s="325"/>
      <c r="C882" s="325"/>
      <c r="D882" s="325"/>
      <c r="E882" s="325"/>
      <c r="F882" s="325"/>
      <c r="G882" s="325"/>
      <c r="H882" s="325"/>
      <c r="I882" s="325"/>
      <c r="J882" s="325"/>
      <c r="K882" s="339"/>
      <c r="L882" s="340"/>
      <c r="M882" s="340"/>
      <c r="N882" s="340"/>
      <c r="O882" s="340"/>
      <c r="P882" s="340"/>
      <c r="Q882" s="340"/>
      <c r="R882" s="340"/>
      <c r="S882" s="348"/>
      <c r="T882" s="348"/>
      <c r="U882" s="348"/>
      <c r="V882" s="340"/>
      <c r="W882" s="340"/>
      <c r="X882" s="340"/>
      <c r="Y882" s="340"/>
    </row>
    <row r="883" spans="1:25" ht="15" thickBot="1" x14ac:dyDescent="0.3">
      <c r="A883" s="325"/>
      <c r="B883" s="325"/>
      <c r="C883" s="325"/>
      <c r="D883" s="325"/>
      <c r="E883" s="325"/>
      <c r="F883" s="325"/>
      <c r="G883" s="325"/>
      <c r="H883" s="325"/>
      <c r="I883" s="325"/>
      <c r="J883" s="325"/>
      <c r="K883" s="339"/>
      <c r="L883" s="340"/>
      <c r="M883" s="340"/>
      <c r="N883" s="340"/>
      <c r="O883" s="340"/>
      <c r="P883" s="340"/>
      <c r="Q883" s="340"/>
      <c r="R883" s="340"/>
      <c r="S883" s="348"/>
      <c r="T883" s="348"/>
      <c r="U883" s="348"/>
      <c r="V883" s="340"/>
      <c r="W883" s="340"/>
      <c r="X883" s="340"/>
      <c r="Y883" s="340"/>
    </row>
    <row r="884" spans="1:25" ht="15" thickBot="1" x14ac:dyDescent="0.3">
      <c r="A884" s="325"/>
      <c r="B884" s="325"/>
      <c r="C884" s="325"/>
      <c r="D884" s="325"/>
      <c r="E884" s="325"/>
      <c r="F884" s="325"/>
      <c r="G884" s="325"/>
      <c r="H884" s="325"/>
      <c r="I884" s="325"/>
      <c r="J884" s="325"/>
      <c r="K884" s="339"/>
      <c r="L884" s="340"/>
      <c r="M884" s="340"/>
      <c r="N884" s="340"/>
      <c r="O884" s="340"/>
      <c r="P884" s="340"/>
      <c r="Q884" s="340"/>
      <c r="R884" s="340"/>
      <c r="S884" s="348"/>
      <c r="T884" s="348"/>
      <c r="U884" s="348"/>
      <c r="V884" s="340"/>
      <c r="W884" s="340"/>
      <c r="X884" s="340"/>
      <c r="Y884" s="340"/>
    </row>
    <row r="885" spans="1:25" ht="15" thickBot="1" x14ac:dyDescent="0.3">
      <c r="A885" s="325"/>
      <c r="B885" s="325"/>
      <c r="C885" s="325"/>
      <c r="D885" s="325"/>
      <c r="E885" s="325"/>
      <c r="F885" s="325"/>
      <c r="G885" s="325"/>
      <c r="H885" s="325"/>
      <c r="I885" s="325"/>
      <c r="J885" s="325"/>
      <c r="K885" s="339"/>
      <c r="L885" s="340"/>
      <c r="M885" s="340"/>
      <c r="N885" s="340"/>
      <c r="O885" s="340"/>
      <c r="P885" s="340"/>
      <c r="Q885" s="340"/>
      <c r="R885" s="340"/>
      <c r="S885" s="348"/>
      <c r="T885" s="348"/>
      <c r="U885" s="348"/>
      <c r="V885" s="340"/>
      <c r="W885" s="340"/>
      <c r="X885" s="340"/>
      <c r="Y885" s="340"/>
    </row>
    <row r="886" spans="1:25" ht="15" thickBot="1" x14ac:dyDescent="0.3">
      <c r="A886" s="325"/>
      <c r="B886" s="325"/>
      <c r="C886" s="325"/>
      <c r="D886" s="325"/>
      <c r="E886" s="325"/>
      <c r="F886" s="325"/>
      <c r="G886" s="325"/>
      <c r="H886" s="325"/>
      <c r="I886" s="325"/>
      <c r="J886" s="325"/>
      <c r="K886" s="339"/>
      <c r="L886" s="340"/>
      <c r="M886" s="340"/>
      <c r="N886" s="340"/>
      <c r="O886" s="340"/>
      <c r="P886" s="340"/>
      <c r="Q886" s="340"/>
      <c r="R886" s="340"/>
      <c r="S886" s="348"/>
      <c r="T886" s="348"/>
      <c r="U886" s="348"/>
      <c r="V886" s="340"/>
      <c r="W886" s="340"/>
      <c r="X886" s="340"/>
      <c r="Y886" s="340"/>
    </row>
    <row r="887" spans="1:25" ht="15" thickBot="1" x14ac:dyDescent="0.3">
      <c r="A887" s="325"/>
      <c r="B887" s="325"/>
      <c r="C887" s="325"/>
      <c r="D887" s="325"/>
      <c r="E887" s="325"/>
      <c r="F887" s="325"/>
      <c r="G887" s="325"/>
      <c r="H887" s="325"/>
      <c r="I887" s="325"/>
      <c r="J887" s="325"/>
      <c r="K887" s="339"/>
      <c r="L887" s="340"/>
      <c r="M887" s="340"/>
      <c r="N887" s="340"/>
      <c r="O887" s="340"/>
      <c r="P887" s="340"/>
      <c r="Q887" s="340"/>
      <c r="R887" s="340"/>
      <c r="S887" s="348"/>
      <c r="T887" s="348"/>
      <c r="U887" s="348"/>
      <c r="V887" s="340"/>
      <c r="W887" s="340"/>
      <c r="X887" s="340"/>
      <c r="Y887" s="340"/>
    </row>
    <row r="888" spans="1:25" ht="15" thickBot="1" x14ac:dyDescent="0.3">
      <c r="A888" s="325"/>
      <c r="B888" s="325"/>
      <c r="C888" s="325"/>
      <c r="D888" s="325"/>
      <c r="E888" s="325"/>
      <c r="F888" s="325"/>
      <c r="G888" s="325"/>
      <c r="H888" s="325"/>
      <c r="I888" s="325"/>
      <c r="J888" s="325"/>
      <c r="K888" s="339"/>
      <c r="L888" s="340"/>
      <c r="M888" s="340"/>
      <c r="N888" s="340"/>
      <c r="O888" s="340"/>
      <c r="P888" s="340"/>
      <c r="Q888" s="340"/>
      <c r="R888" s="340"/>
      <c r="S888" s="348"/>
      <c r="T888" s="348"/>
      <c r="U888" s="348"/>
      <c r="V888" s="340"/>
      <c r="W888" s="340"/>
      <c r="X888" s="340"/>
      <c r="Y888" s="340"/>
    </row>
    <row r="889" spans="1:25" ht="15" thickBot="1" x14ac:dyDescent="0.3">
      <c r="A889" s="325"/>
      <c r="B889" s="325"/>
      <c r="C889" s="325"/>
      <c r="D889" s="325"/>
      <c r="E889" s="325"/>
      <c r="F889" s="325"/>
      <c r="G889" s="325"/>
      <c r="H889" s="325"/>
      <c r="I889" s="325"/>
      <c r="J889" s="325"/>
      <c r="K889" s="339"/>
      <c r="L889" s="340"/>
      <c r="M889" s="340"/>
      <c r="N889" s="340"/>
      <c r="O889" s="340"/>
      <c r="P889" s="340"/>
      <c r="Q889" s="340"/>
      <c r="R889" s="340"/>
      <c r="S889" s="348"/>
      <c r="T889" s="348"/>
      <c r="U889" s="348"/>
      <c r="V889" s="340"/>
      <c r="W889" s="340"/>
      <c r="X889" s="340"/>
      <c r="Y889" s="340"/>
    </row>
    <row r="890" spans="1:25" ht="15" thickBot="1" x14ac:dyDescent="0.3">
      <c r="A890" s="325"/>
      <c r="B890" s="325"/>
      <c r="C890" s="325"/>
      <c r="D890" s="325"/>
      <c r="E890" s="325"/>
      <c r="F890" s="325"/>
      <c r="G890" s="325"/>
      <c r="H890" s="325"/>
      <c r="I890" s="325"/>
      <c r="J890" s="325"/>
      <c r="K890" s="339"/>
      <c r="L890" s="340"/>
      <c r="M890" s="340"/>
      <c r="N890" s="340"/>
      <c r="O890" s="340"/>
      <c r="P890" s="340"/>
      <c r="Q890" s="340"/>
      <c r="R890" s="340"/>
      <c r="S890" s="348"/>
      <c r="T890" s="348"/>
      <c r="U890" s="348"/>
      <c r="V890" s="340"/>
      <c r="W890" s="340"/>
      <c r="X890" s="340"/>
      <c r="Y890" s="340"/>
    </row>
    <row r="891" spans="1:25" ht="15" thickBot="1" x14ac:dyDescent="0.3">
      <c r="A891" s="325"/>
      <c r="B891" s="325"/>
      <c r="C891" s="325"/>
      <c r="D891" s="325"/>
      <c r="E891" s="325"/>
      <c r="F891" s="325"/>
      <c r="G891" s="325"/>
      <c r="H891" s="325"/>
      <c r="I891" s="325"/>
      <c r="J891" s="325"/>
      <c r="K891" s="339"/>
      <c r="L891" s="340"/>
      <c r="M891" s="340"/>
      <c r="N891" s="340"/>
      <c r="O891" s="340"/>
      <c r="P891" s="340"/>
      <c r="Q891" s="340"/>
      <c r="R891" s="340"/>
      <c r="S891" s="348"/>
      <c r="T891" s="348"/>
      <c r="U891" s="348"/>
      <c r="V891" s="340"/>
      <c r="W891" s="340"/>
      <c r="X891" s="340"/>
      <c r="Y891" s="340"/>
    </row>
    <row r="892" spans="1:25" ht="15" thickBot="1" x14ac:dyDescent="0.3">
      <c r="A892" s="325"/>
      <c r="B892" s="325"/>
      <c r="C892" s="325"/>
      <c r="D892" s="325"/>
      <c r="E892" s="325"/>
      <c r="F892" s="325"/>
      <c r="G892" s="325"/>
      <c r="H892" s="325"/>
      <c r="I892" s="325"/>
      <c r="J892" s="325"/>
      <c r="K892" s="339"/>
      <c r="L892" s="340"/>
      <c r="M892" s="340"/>
      <c r="N892" s="340"/>
      <c r="O892" s="340"/>
      <c r="P892" s="340"/>
      <c r="Q892" s="340"/>
      <c r="R892" s="340"/>
      <c r="S892" s="348"/>
      <c r="T892" s="348"/>
      <c r="U892" s="348"/>
      <c r="V892" s="340"/>
      <c r="W892" s="340"/>
      <c r="X892" s="340"/>
      <c r="Y892" s="340"/>
    </row>
    <row r="893" spans="1:25" ht="15" thickBot="1" x14ac:dyDescent="0.3">
      <c r="A893" s="325"/>
      <c r="B893" s="325"/>
      <c r="C893" s="325"/>
      <c r="D893" s="325"/>
      <c r="E893" s="325"/>
      <c r="F893" s="325"/>
      <c r="G893" s="325"/>
      <c r="H893" s="325"/>
      <c r="I893" s="325"/>
      <c r="J893" s="325"/>
      <c r="K893" s="339"/>
      <c r="L893" s="340"/>
      <c r="M893" s="340"/>
      <c r="N893" s="340"/>
      <c r="O893" s="340"/>
      <c r="P893" s="340"/>
      <c r="Q893" s="340"/>
      <c r="R893" s="340"/>
      <c r="S893" s="348"/>
      <c r="T893" s="348"/>
      <c r="U893" s="348"/>
      <c r="V893" s="340"/>
      <c r="W893" s="340"/>
      <c r="X893" s="340"/>
      <c r="Y893" s="340"/>
    </row>
    <row r="894" spans="1:25" ht="15" thickBot="1" x14ac:dyDescent="0.3">
      <c r="A894" s="325"/>
      <c r="B894" s="325"/>
      <c r="C894" s="325"/>
      <c r="D894" s="325"/>
      <c r="E894" s="325"/>
      <c r="F894" s="325"/>
      <c r="G894" s="325"/>
      <c r="H894" s="325"/>
      <c r="I894" s="325"/>
      <c r="J894" s="325"/>
      <c r="K894" s="339"/>
      <c r="L894" s="340"/>
      <c r="M894" s="340"/>
      <c r="N894" s="340"/>
      <c r="O894" s="340"/>
      <c r="P894" s="340"/>
      <c r="Q894" s="340"/>
      <c r="R894" s="340"/>
      <c r="S894" s="348"/>
      <c r="T894" s="348"/>
      <c r="U894" s="348"/>
      <c r="V894" s="340"/>
      <c r="W894" s="340"/>
      <c r="X894" s="340"/>
      <c r="Y894" s="340"/>
    </row>
    <row r="895" spans="1:25" ht="15" thickBot="1" x14ac:dyDescent="0.3">
      <c r="A895" s="325"/>
      <c r="B895" s="325"/>
      <c r="C895" s="325"/>
      <c r="D895" s="325"/>
      <c r="E895" s="325"/>
      <c r="F895" s="325"/>
      <c r="G895" s="325"/>
      <c r="H895" s="325"/>
      <c r="I895" s="325"/>
      <c r="J895" s="325"/>
      <c r="K895" s="339"/>
      <c r="L895" s="340"/>
      <c r="M895" s="340"/>
      <c r="N895" s="340"/>
      <c r="O895" s="340"/>
      <c r="P895" s="340"/>
      <c r="Q895" s="340"/>
      <c r="R895" s="340"/>
      <c r="S895" s="348"/>
      <c r="T895" s="348"/>
      <c r="U895" s="348"/>
      <c r="V895" s="340"/>
      <c r="W895" s="340"/>
      <c r="X895" s="340"/>
      <c r="Y895" s="340"/>
    </row>
    <row r="896" spans="1:25" ht="15" thickBot="1" x14ac:dyDescent="0.3">
      <c r="A896" s="325"/>
      <c r="B896" s="325"/>
      <c r="C896" s="325"/>
      <c r="D896" s="325"/>
      <c r="E896" s="325"/>
      <c r="F896" s="325"/>
      <c r="G896" s="325"/>
      <c r="H896" s="325"/>
      <c r="I896" s="325"/>
      <c r="J896" s="325"/>
      <c r="K896" s="339"/>
      <c r="L896" s="340"/>
      <c r="M896" s="340"/>
      <c r="N896" s="340"/>
      <c r="O896" s="340"/>
      <c r="P896" s="340"/>
      <c r="Q896" s="340"/>
      <c r="R896" s="340"/>
      <c r="S896" s="348"/>
      <c r="T896" s="348"/>
      <c r="U896" s="348"/>
      <c r="V896" s="340"/>
      <c r="W896" s="340"/>
      <c r="X896" s="340"/>
      <c r="Y896" s="340"/>
    </row>
    <row r="897" spans="1:25" ht="15" thickBot="1" x14ac:dyDescent="0.3">
      <c r="A897" s="325"/>
      <c r="B897" s="325"/>
      <c r="C897" s="325"/>
      <c r="D897" s="325"/>
      <c r="E897" s="325"/>
      <c r="F897" s="325"/>
      <c r="G897" s="325"/>
      <c r="H897" s="325"/>
      <c r="I897" s="325"/>
      <c r="J897" s="325"/>
      <c r="K897" s="339"/>
      <c r="L897" s="340"/>
      <c r="M897" s="340"/>
      <c r="N897" s="340"/>
      <c r="O897" s="340"/>
      <c r="P897" s="340"/>
      <c r="Q897" s="340"/>
      <c r="R897" s="340"/>
      <c r="S897" s="348"/>
      <c r="T897" s="348"/>
      <c r="U897" s="348"/>
      <c r="V897" s="340"/>
      <c r="W897" s="340"/>
      <c r="X897" s="340"/>
      <c r="Y897" s="340"/>
    </row>
    <row r="898" spans="1:25" ht="15" thickBot="1" x14ac:dyDescent="0.3">
      <c r="A898" s="325"/>
      <c r="B898" s="325"/>
      <c r="C898" s="325"/>
      <c r="D898" s="325"/>
      <c r="E898" s="325"/>
      <c r="F898" s="325"/>
      <c r="G898" s="325"/>
      <c r="H898" s="325"/>
      <c r="I898" s="325"/>
      <c r="J898" s="325"/>
      <c r="K898" s="339"/>
      <c r="L898" s="340"/>
      <c r="M898" s="340"/>
      <c r="N898" s="340"/>
      <c r="O898" s="340"/>
      <c r="P898" s="340"/>
      <c r="Q898" s="340"/>
      <c r="R898" s="340"/>
      <c r="S898" s="348"/>
      <c r="T898" s="348"/>
      <c r="U898" s="348"/>
      <c r="V898" s="340"/>
      <c r="W898" s="340"/>
      <c r="X898" s="340"/>
      <c r="Y898" s="340"/>
    </row>
    <row r="899" spans="1:25" ht="15" thickBot="1" x14ac:dyDescent="0.3">
      <c r="A899" s="325"/>
      <c r="B899" s="325"/>
      <c r="C899" s="325"/>
      <c r="D899" s="325"/>
      <c r="E899" s="325"/>
      <c r="F899" s="325"/>
      <c r="G899" s="325"/>
      <c r="H899" s="325"/>
      <c r="I899" s="325"/>
      <c r="J899" s="325"/>
      <c r="K899" s="339"/>
      <c r="L899" s="340"/>
      <c r="M899" s="340"/>
      <c r="N899" s="340"/>
      <c r="O899" s="340"/>
      <c r="P899" s="340"/>
      <c r="Q899" s="340"/>
      <c r="R899" s="340"/>
      <c r="S899" s="348"/>
      <c r="T899" s="348"/>
      <c r="U899" s="348"/>
      <c r="V899" s="340"/>
      <c r="W899" s="340"/>
      <c r="X899" s="340"/>
      <c r="Y899" s="340"/>
    </row>
    <row r="900" spans="1:25" ht="15" thickBot="1" x14ac:dyDescent="0.3">
      <c r="A900" s="325"/>
      <c r="B900" s="325"/>
      <c r="C900" s="325"/>
      <c r="D900" s="325"/>
      <c r="E900" s="325"/>
      <c r="F900" s="325"/>
      <c r="G900" s="325"/>
      <c r="H900" s="325"/>
      <c r="I900" s="325"/>
      <c r="J900" s="325"/>
      <c r="K900" s="339"/>
      <c r="L900" s="340"/>
      <c r="M900" s="340"/>
      <c r="N900" s="340"/>
      <c r="O900" s="340"/>
      <c r="P900" s="340"/>
      <c r="Q900" s="340"/>
      <c r="R900" s="340"/>
      <c r="S900" s="348"/>
      <c r="T900" s="348"/>
      <c r="U900" s="348"/>
      <c r="V900" s="340"/>
      <c r="W900" s="340"/>
      <c r="X900" s="340"/>
      <c r="Y900" s="340"/>
    </row>
    <row r="901" spans="1:25" ht="15" thickBot="1" x14ac:dyDescent="0.3">
      <c r="A901" s="325"/>
      <c r="B901" s="325"/>
      <c r="C901" s="325"/>
      <c r="D901" s="325"/>
      <c r="E901" s="325"/>
      <c r="F901" s="325"/>
      <c r="G901" s="325"/>
      <c r="H901" s="325"/>
      <c r="I901" s="325"/>
      <c r="J901" s="325"/>
      <c r="K901" s="339"/>
      <c r="L901" s="340"/>
      <c r="M901" s="340"/>
      <c r="N901" s="340"/>
      <c r="O901" s="340"/>
      <c r="P901" s="340"/>
      <c r="Q901" s="340"/>
      <c r="R901" s="340"/>
      <c r="S901" s="348"/>
      <c r="T901" s="348"/>
      <c r="U901" s="348"/>
      <c r="V901" s="340"/>
      <c r="W901" s="340"/>
      <c r="X901" s="340"/>
      <c r="Y901" s="340"/>
    </row>
    <row r="902" spans="1:25" ht="15" thickBot="1" x14ac:dyDescent="0.3">
      <c r="A902" s="325"/>
      <c r="B902" s="325"/>
      <c r="C902" s="325"/>
      <c r="D902" s="325"/>
      <c r="E902" s="325"/>
      <c r="F902" s="325"/>
      <c r="G902" s="325"/>
      <c r="H902" s="325"/>
      <c r="I902" s="325"/>
      <c r="J902" s="325"/>
      <c r="K902" s="339"/>
      <c r="L902" s="340"/>
      <c r="M902" s="340"/>
      <c r="N902" s="340"/>
      <c r="O902" s="340"/>
      <c r="P902" s="340"/>
      <c r="Q902" s="340"/>
      <c r="R902" s="340"/>
      <c r="S902" s="348"/>
      <c r="T902" s="348"/>
      <c r="U902" s="348"/>
      <c r="V902" s="340"/>
      <c r="W902" s="340"/>
      <c r="X902" s="340"/>
      <c r="Y902" s="340"/>
    </row>
    <row r="903" spans="1:25" ht="15" thickBot="1" x14ac:dyDescent="0.3">
      <c r="A903" s="325"/>
      <c r="B903" s="325"/>
      <c r="C903" s="325"/>
      <c r="D903" s="325"/>
      <c r="E903" s="325"/>
      <c r="F903" s="325"/>
      <c r="G903" s="325"/>
      <c r="H903" s="325"/>
      <c r="I903" s="325"/>
      <c r="J903" s="325"/>
      <c r="K903" s="339"/>
      <c r="L903" s="340"/>
      <c r="M903" s="340"/>
      <c r="N903" s="340"/>
      <c r="O903" s="340"/>
      <c r="P903" s="340"/>
      <c r="Q903" s="340"/>
      <c r="R903" s="340"/>
      <c r="S903" s="348"/>
      <c r="T903" s="348"/>
      <c r="U903" s="348"/>
      <c r="V903" s="340"/>
      <c r="W903" s="340"/>
      <c r="X903" s="340"/>
      <c r="Y903" s="340"/>
    </row>
    <row r="904" spans="1:25" ht="15" thickBot="1" x14ac:dyDescent="0.3">
      <c r="A904" s="325"/>
      <c r="B904" s="325"/>
      <c r="C904" s="325"/>
      <c r="D904" s="325"/>
      <c r="E904" s="325"/>
      <c r="F904" s="325"/>
      <c r="G904" s="325"/>
      <c r="H904" s="325"/>
      <c r="I904" s="325"/>
      <c r="J904" s="325"/>
      <c r="K904" s="339"/>
      <c r="L904" s="340"/>
      <c r="M904" s="340"/>
      <c r="N904" s="340"/>
      <c r="O904" s="340"/>
      <c r="P904" s="340"/>
      <c r="Q904" s="340"/>
      <c r="R904" s="340"/>
      <c r="S904" s="348"/>
      <c r="T904" s="348"/>
      <c r="U904" s="348"/>
      <c r="V904" s="340"/>
      <c r="W904" s="340"/>
      <c r="X904" s="340"/>
      <c r="Y904" s="340"/>
    </row>
    <row r="905" spans="1:25" ht="15" thickBot="1" x14ac:dyDescent="0.3">
      <c r="A905" s="325"/>
      <c r="B905" s="325"/>
      <c r="C905" s="325"/>
      <c r="D905" s="325"/>
      <c r="E905" s="325"/>
      <c r="F905" s="325"/>
      <c r="G905" s="325"/>
      <c r="H905" s="325"/>
      <c r="I905" s="325"/>
      <c r="J905" s="325"/>
      <c r="K905" s="339"/>
      <c r="L905" s="340"/>
      <c r="M905" s="340"/>
      <c r="N905" s="340"/>
      <c r="O905" s="340"/>
      <c r="P905" s="340"/>
      <c r="Q905" s="340"/>
      <c r="R905" s="340"/>
      <c r="S905" s="348"/>
      <c r="T905" s="348"/>
      <c r="U905" s="348"/>
      <c r="V905" s="340"/>
      <c r="W905" s="340"/>
      <c r="X905" s="340"/>
      <c r="Y905" s="340"/>
    </row>
    <row r="906" spans="1:25" ht="15" thickBot="1" x14ac:dyDescent="0.3">
      <c r="A906" s="325"/>
      <c r="B906" s="325"/>
      <c r="C906" s="325"/>
      <c r="D906" s="325"/>
      <c r="E906" s="325"/>
      <c r="F906" s="325"/>
      <c r="G906" s="325"/>
      <c r="H906" s="325"/>
      <c r="I906" s="325"/>
      <c r="J906" s="325"/>
      <c r="K906" s="339"/>
      <c r="L906" s="340"/>
      <c r="M906" s="340"/>
      <c r="N906" s="340"/>
      <c r="O906" s="340"/>
      <c r="P906" s="340"/>
      <c r="Q906" s="340"/>
      <c r="R906" s="340"/>
      <c r="S906" s="348"/>
      <c r="T906" s="348"/>
      <c r="U906" s="348"/>
      <c r="V906" s="340"/>
      <c r="W906" s="340"/>
      <c r="X906" s="340"/>
      <c r="Y906" s="340"/>
    </row>
    <row r="907" spans="1:25" ht="15" thickBot="1" x14ac:dyDescent="0.3">
      <c r="A907" s="325"/>
      <c r="B907" s="325"/>
      <c r="C907" s="325"/>
      <c r="D907" s="325"/>
      <c r="E907" s="325"/>
      <c r="F907" s="325"/>
      <c r="G907" s="325"/>
      <c r="H907" s="325"/>
      <c r="I907" s="325"/>
      <c r="J907" s="325"/>
      <c r="K907" s="339"/>
      <c r="L907" s="340"/>
      <c r="M907" s="340"/>
      <c r="N907" s="340"/>
      <c r="O907" s="340"/>
      <c r="P907" s="340"/>
      <c r="Q907" s="340"/>
      <c r="R907" s="340"/>
      <c r="S907" s="348"/>
      <c r="T907" s="348"/>
      <c r="U907" s="348"/>
      <c r="V907" s="340"/>
      <c r="W907" s="340"/>
      <c r="X907" s="340"/>
      <c r="Y907" s="340"/>
    </row>
    <row r="908" spans="1:25" ht="15" thickBot="1" x14ac:dyDescent="0.3">
      <c r="A908" s="325"/>
      <c r="B908" s="325"/>
      <c r="C908" s="325"/>
      <c r="D908" s="325"/>
      <c r="E908" s="325"/>
      <c r="F908" s="325"/>
      <c r="G908" s="325"/>
      <c r="H908" s="325"/>
      <c r="I908" s="325"/>
      <c r="J908" s="325"/>
      <c r="K908" s="339"/>
      <c r="L908" s="340"/>
      <c r="M908" s="340"/>
      <c r="N908" s="340"/>
      <c r="O908" s="340"/>
      <c r="P908" s="340"/>
      <c r="Q908" s="340"/>
      <c r="R908" s="340"/>
      <c r="S908" s="348"/>
      <c r="T908" s="348"/>
      <c r="U908" s="348"/>
      <c r="V908" s="340"/>
      <c r="W908" s="340"/>
      <c r="X908" s="340"/>
      <c r="Y908" s="340"/>
    </row>
    <row r="909" spans="1:25" ht="15" thickBot="1" x14ac:dyDescent="0.3">
      <c r="A909" s="325"/>
      <c r="B909" s="325"/>
      <c r="C909" s="325"/>
      <c r="D909" s="325"/>
      <c r="E909" s="325"/>
      <c r="F909" s="325"/>
      <c r="G909" s="325"/>
      <c r="H909" s="325"/>
      <c r="I909" s="325"/>
      <c r="J909" s="325"/>
      <c r="K909" s="339"/>
      <c r="L909" s="340"/>
      <c r="M909" s="340"/>
      <c r="N909" s="340"/>
      <c r="O909" s="340"/>
      <c r="P909" s="340"/>
      <c r="Q909" s="340"/>
      <c r="R909" s="340"/>
      <c r="S909" s="348"/>
      <c r="T909" s="348"/>
      <c r="U909" s="348"/>
      <c r="V909" s="340"/>
      <c r="W909" s="340"/>
      <c r="X909" s="340"/>
      <c r="Y909" s="340"/>
    </row>
    <row r="910" spans="1:25" ht="15" thickBot="1" x14ac:dyDescent="0.3">
      <c r="A910" s="325"/>
      <c r="B910" s="325"/>
      <c r="C910" s="325"/>
      <c r="D910" s="325"/>
      <c r="E910" s="325"/>
      <c r="F910" s="325"/>
      <c r="G910" s="325"/>
      <c r="H910" s="325"/>
      <c r="I910" s="325"/>
      <c r="J910" s="325"/>
      <c r="K910" s="339"/>
      <c r="L910" s="340"/>
      <c r="M910" s="340"/>
      <c r="N910" s="340"/>
      <c r="O910" s="340"/>
      <c r="P910" s="340"/>
      <c r="Q910" s="340"/>
      <c r="R910" s="340"/>
      <c r="S910" s="348"/>
      <c r="T910" s="348"/>
      <c r="U910" s="348"/>
      <c r="V910" s="340"/>
      <c r="W910" s="340"/>
      <c r="X910" s="340"/>
      <c r="Y910" s="340"/>
    </row>
    <row r="911" spans="1:25" ht="15" thickBot="1" x14ac:dyDescent="0.3">
      <c r="A911" s="325"/>
      <c r="B911" s="325"/>
      <c r="C911" s="325"/>
      <c r="D911" s="325"/>
      <c r="E911" s="325"/>
      <c r="F911" s="325"/>
      <c r="G911" s="325"/>
      <c r="H911" s="325"/>
      <c r="I911" s="325"/>
      <c r="J911" s="325"/>
      <c r="K911" s="339"/>
      <c r="L911" s="340"/>
      <c r="M911" s="340"/>
      <c r="N911" s="340"/>
      <c r="O911" s="340"/>
      <c r="P911" s="340"/>
      <c r="Q911" s="340"/>
      <c r="R911" s="340"/>
      <c r="S911" s="348"/>
      <c r="T911" s="348"/>
      <c r="U911" s="348"/>
      <c r="V911" s="340"/>
      <c r="W911" s="340"/>
      <c r="X911" s="340"/>
      <c r="Y911" s="340"/>
    </row>
    <row r="912" spans="1:25" ht="15" thickBot="1" x14ac:dyDescent="0.3">
      <c r="A912" s="325"/>
      <c r="B912" s="325"/>
      <c r="C912" s="325"/>
      <c r="D912" s="325"/>
      <c r="E912" s="325"/>
      <c r="F912" s="325"/>
      <c r="G912" s="325"/>
      <c r="H912" s="325"/>
      <c r="I912" s="325"/>
      <c r="J912" s="325"/>
      <c r="K912" s="339"/>
      <c r="L912" s="340"/>
      <c r="M912" s="340"/>
      <c r="N912" s="340"/>
      <c r="O912" s="340"/>
      <c r="P912" s="340"/>
      <c r="Q912" s="340"/>
      <c r="R912" s="340"/>
      <c r="S912" s="348"/>
      <c r="T912" s="348"/>
      <c r="U912" s="348"/>
      <c r="V912" s="340"/>
      <c r="W912" s="340"/>
      <c r="X912" s="340"/>
      <c r="Y912" s="340"/>
    </row>
    <row r="913" spans="1:25" ht="15" thickBot="1" x14ac:dyDescent="0.3">
      <c r="A913" s="325"/>
      <c r="B913" s="325"/>
      <c r="C913" s="325"/>
      <c r="D913" s="325"/>
      <c r="E913" s="325"/>
      <c r="F913" s="325"/>
      <c r="G913" s="325"/>
      <c r="H913" s="325"/>
      <c r="I913" s="325"/>
      <c r="J913" s="325"/>
      <c r="K913" s="339"/>
      <c r="L913" s="340"/>
      <c r="M913" s="340"/>
      <c r="N913" s="340"/>
      <c r="O913" s="340"/>
      <c r="P913" s="340"/>
      <c r="Q913" s="340"/>
      <c r="R913" s="340"/>
      <c r="S913" s="348"/>
      <c r="T913" s="348"/>
      <c r="U913" s="348"/>
      <c r="V913" s="340"/>
      <c r="W913" s="340"/>
      <c r="X913" s="340"/>
      <c r="Y913" s="340"/>
    </row>
    <row r="914" spans="1:25" ht="15" thickBot="1" x14ac:dyDescent="0.3">
      <c r="A914" s="325"/>
      <c r="B914" s="325"/>
      <c r="C914" s="325"/>
      <c r="D914" s="325"/>
      <c r="E914" s="325"/>
      <c r="F914" s="325"/>
      <c r="G914" s="325"/>
      <c r="H914" s="325"/>
      <c r="I914" s="325"/>
      <c r="J914" s="325"/>
      <c r="K914" s="339"/>
      <c r="L914" s="340"/>
      <c r="M914" s="340"/>
      <c r="N914" s="340"/>
      <c r="O914" s="340"/>
      <c r="P914" s="340"/>
      <c r="Q914" s="340"/>
      <c r="R914" s="340"/>
      <c r="S914" s="348"/>
      <c r="T914" s="348"/>
      <c r="U914" s="348"/>
      <c r="V914" s="340"/>
      <c r="W914" s="340"/>
      <c r="X914" s="340"/>
      <c r="Y914" s="340"/>
    </row>
    <row r="915" spans="1:25" ht="15" thickBot="1" x14ac:dyDescent="0.3">
      <c r="A915" s="325"/>
      <c r="B915" s="325"/>
      <c r="C915" s="325"/>
      <c r="D915" s="325"/>
      <c r="E915" s="325"/>
      <c r="F915" s="325"/>
      <c r="G915" s="325"/>
      <c r="H915" s="325"/>
      <c r="I915" s="325"/>
      <c r="J915" s="325"/>
      <c r="K915" s="339"/>
      <c r="L915" s="340"/>
      <c r="M915" s="340"/>
      <c r="N915" s="340"/>
      <c r="O915" s="340"/>
      <c r="P915" s="340"/>
      <c r="Q915" s="340"/>
      <c r="R915" s="340"/>
      <c r="S915" s="348"/>
      <c r="T915" s="348"/>
      <c r="U915" s="348"/>
      <c r="V915" s="340"/>
      <c r="W915" s="340"/>
      <c r="X915" s="340"/>
      <c r="Y915" s="340"/>
    </row>
    <row r="916" spans="1:25" ht="15" thickBot="1" x14ac:dyDescent="0.3">
      <c r="A916" s="325"/>
      <c r="B916" s="325"/>
      <c r="C916" s="325"/>
      <c r="D916" s="325"/>
      <c r="E916" s="325"/>
      <c r="F916" s="325"/>
      <c r="G916" s="325"/>
      <c r="H916" s="325"/>
      <c r="I916" s="325"/>
      <c r="J916" s="325"/>
      <c r="K916" s="339"/>
      <c r="L916" s="340"/>
      <c r="M916" s="340"/>
      <c r="N916" s="340"/>
      <c r="O916" s="340"/>
      <c r="P916" s="340"/>
      <c r="Q916" s="340"/>
      <c r="R916" s="340"/>
      <c r="S916" s="348"/>
      <c r="T916" s="348"/>
      <c r="U916" s="348"/>
      <c r="V916" s="340"/>
      <c r="W916" s="340"/>
      <c r="X916" s="340"/>
      <c r="Y916" s="340"/>
    </row>
    <row r="917" spans="1:25" ht="15" thickBot="1" x14ac:dyDescent="0.3">
      <c r="A917" s="325"/>
      <c r="B917" s="325"/>
      <c r="C917" s="325"/>
      <c r="D917" s="325"/>
      <c r="E917" s="325"/>
      <c r="F917" s="325"/>
      <c r="G917" s="325"/>
      <c r="H917" s="325"/>
      <c r="I917" s="325"/>
      <c r="J917" s="325"/>
      <c r="K917" s="339"/>
      <c r="L917" s="340"/>
      <c r="M917" s="340"/>
      <c r="N917" s="340"/>
      <c r="O917" s="340"/>
      <c r="P917" s="340"/>
      <c r="Q917" s="340"/>
      <c r="R917" s="340"/>
      <c r="S917" s="348"/>
      <c r="T917" s="348"/>
      <c r="U917" s="348"/>
      <c r="V917" s="340"/>
      <c r="W917" s="340"/>
      <c r="X917" s="340"/>
      <c r="Y917" s="340"/>
    </row>
    <row r="918" spans="1:25" ht="15" thickBot="1" x14ac:dyDescent="0.3">
      <c r="A918" s="325"/>
      <c r="B918" s="325"/>
      <c r="C918" s="325"/>
      <c r="D918" s="325"/>
      <c r="E918" s="325"/>
      <c r="F918" s="325"/>
      <c r="G918" s="325"/>
      <c r="H918" s="325"/>
      <c r="I918" s="325"/>
      <c r="J918" s="325"/>
      <c r="K918" s="339"/>
      <c r="L918" s="340"/>
      <c r="M918" s="340"/>
      <c r="N918" s="340"/>
      <c r="O918" s="340"/>
      <c r="P918" s="340"/>
      <c r="Q918" s="340"/>
      <c r="R918" s="340"/>
      <c r="S918" s="348"/>
      <c r="T918" s="348"/>
      <c r="U918" s="348"/>
      <c r="V918" s="340"/>
      <c r="W918" s="340"/>
      <c r="X918" s="340"/>
      <c r="Y918" s="340"/>
    </row>
    <row r="919" spans="1:25" ht="15" thickBot="1" x14ac:dyDescent="0.3">
      <c r="A919" s="325"/>
      <c r="B919" s="325"/>
      <c r="C919" s="325"/>
      <c r="D919" s="325"/>
      <c r="E919" s="325"/>
      <c r="F919" s="325"/>
      <c r="G919" s="325"/>
      <c r="H919" s="325"/>
      <c r="I919" s="325"/>
      <c r="J919" s="325"/>
      <c r="K919" s="339"/>
      <c r="L919" s="340"/>
      <c r="M919" s="340"/>
      <c r="N919" s="340"/>
      <c r="O919" s="340"/>
      <c r="P919" s="340"/>
      <c r="Q919" s="340"/>
      <c r="R919" s="340"/>
      <c r="S919" s="348"/>
      <c r="T919" s="348"/>
      <c r="U919" s="348"/>
      <c r="V919" s="340"/>
      <c r="W919" s="340"/>
      <c r="X919" s="340"/>
      <c r="Y919" s="340"/>
    </row>
    <row r="920" spans="1:25" ht="15" thickBot="1" x14ac:dyDescent="0.3">
      <c r="A920" s="325"/>
      <c r="B920" s="325"/>
      <c r="C920" s="325"/>
      <c r="D920" s="325"/>
      <c r="E920" s="325"/>
      <c r="F920" s="325"/>
      <c r="G920" s="325"/>
      <c r="H920" s="325"/>
      <c r="I920" s="325"/>
      <c r="J920" s="325"/>
      <c r="K920" s="339"/>
      <c r="L920" s="340"/>
      <c r="M920" s="340"/>
      <c r="N920" s="340"/>
      <c r="O920" s="340"/>
      <c r="P920" s="340"/>
      <c r="Q920" s="340"/>
      <c r="R920" s="340"/>
      <c r="S920" s="348"/>
      <c r="T920" s="348"/>
      <c r="U920" s="348"/>
      <c r="V920" s="340"/>
      <c r="W920" s="340"/>
      <c r="X920" s="340"/>
      <c r="Y920" s="340"/>
    </row>
    <row r="921" spans="1:25" ht="15" thickBot="1" x14ac:dyDescent="0.3">
      <c r="A921" s="325"/>
      <c r="B921" s="325"/>
      <c r="C921" s="325"/>
      <c r="D921" s="325"/>
      <c r="E921" s="325"/>
      <c r="F921" s="325"/>
      <c r="G921" s="325"/>
      <c r="H921" s="325"/>
      <c r="I921" s="325"/>
      <c r="J921" s="325"/>
      <c r="K921" s="339"/>
      <c r="L921" s="340"/>
      <c r="M921" s="340"/>
      <c r="N921" s="340"/>
      <c r="O921" s="340"/>
      <c r="P921" s="340"/>
      <c r="Q921" s="340"/>
      <c r="R921" s="340"/>
      <c r="S921" s="348"/>
      <c r="T921" s="348"/>
      <c r="U921" s="348"/>
      <c r="V921" s="340"/>
      <c r="W921" s="340"/>
      <c r="X921" s="340"/>
      <c r="Y921" s="340"/>
    </row>
    <row r="922" spans="1:25" ht="15" thickBot="1" x14ac:dyDescent="0.3">
      <c r="A922" s="325"/>
      <c r="B922" s="325"/>
      <c r="C922" s="325"/>
      <c r="D922" s="325"/>
      <c r="E922" s="325"/>
      <c r="F922" s="325"/>
      <c r="G922" s="325"/>
      <c r="H922" s="325"/>
      <c r="I922" s="325"/>
      <c r="J922" s="325"/>
      <c r="K922" s="339"/>
      <c r="L922" s="340"/>
      <c r="M922" s="340"/>
      <c r="N922" s="340"/>
      <c r="O922" s="340"/>
      <c r="P922" s="340"/>
      <c r="Q922" s="340"/>
      <c r="R922" s="340"/>
      <c r="S922" s="348"/>
      <c r="T922" s="348"/>
      <c r="U922" s="348"/>
      <c r="V922" s="340"/>
      <c r="W922" s="340"/>
      <c r="X922" s="340"/>
      <c r="Y922" s="340"/>
    </row>
    <row r="923" spans="1:25" ht="15" thickBot="1" x14ac:dyDescent="0.3">
      <c r="A923" s="325"/>
      <c r="B923" s="325"/>
      <c r="C923" s="325"/>
      <c r="D923" s="325"/>
      <c r="E923" s="325"/>
      <c r="F923" s="325"/>
      <c r="G923" s="325"/>
      <c r="H923" s="325"/>
      <c r="I923" s="325"/>
      <c r="J923" s="325"/>
      <c r="K923" s="339"/>
      <c r="L923" s="340"/>
      <c r="M923" s="340"/>
      <c r="N923" s="340"/>
      <c r="O923" s="340"/>
      <c r="P923" s="340"/>
      <c r="Q923" s="340"/>
      <c r="R923" s="340"/>
      <c r="S923" s="348"/>
      <c r="T923" s="348"/>
      <c r="U923" s="348"/>
      <c r="V923" s="340"/>
      <c r="W923" s="340"/>
      <c r="X923" s="340"/>
      <c r="Y923" s="340"/>
    </row>
    <row r="924" spans="1:25" ht="15" thickBot="1" x14ac:dyDescent="0.3">
      <c r="A924" s="325"/>
      <c r="B924" s="325"/>
      <c r="C924" s="325"/>
      <c r="D924" s="325"/>
      <c r="E924" s="325"/>
      <c r="F924" s="325"/>
      <c r="G924" s="325"/>
      <c r="H924" s="325"/>
      <c r="I924" s="325"/>
      <c r="J924" s="325"/>
      <c r="K924" s="339"/>
      <c r="L924" s="340"/>
      <c r="M924" s="340"/>
      <c r="N924" s="340"/>
      <c r="O924" s="340"/>
      <c r="P924" s="340"/>
      <c r="Q924" s="340"/>
      <c r="R924" s="340"/>
      <c r="S924" s="348"/>
      <c r="T924" s="348"/>
      <c r="U924" s="348"/>
      <c r="V924" s="340"/>
      <c r="W924" s="340"/>
      <c r="X924" s="340"/>
      <c r="Y924" s="340"/>
    </row>
    <row r="925" spans="1:25" ht="15" thickBot="1" x14ac:dyDescent="0.3">
      <c r="A925" s="325"/>
      <c r="B925" s="325"/>
      <c r="C925" s="325"/>
      <c r="D925" s="325"/>
      <c r="E925" s="325"/>
      <c r="F925" s="325"/>
      <c r="G925" s="325"/>
      <c r="H925" s="325"/>
      <c r="I925" s="325"/>
      <c r="J925" s="325"/>
      <c r="K925" s="339"/>
      <c r="L925" s="340"/>
      <c r="M925" s="340"/>
      <c r="N925" s="340"/>
      <c r="O925" s="340"/>
      <c r="P925" s="340"/>
      <c r="Q925" s="340"/>
      <c r="R925" s="340"/>
      <c r="S925" s="348"/>
      <c r="T925" s="348"/>
      <c r="U925" s="348"/>
      <c r="V925" s="340"/>
      <c r="W925" s="340"/>
      <c r="X925" s="340"/>
      <c r="Y925" s="340"/>
    </row>
    <row r="926" spans="1:25" ht="15" thickBot="1" x14ac:dyDescent="0.3">
      <c r="A926" s="325"/>
      <c r="B926" s="325"/>
      <c r="C926" s="325"/>
      <c r="D926" s="325"/>
      <c r="E926" s="325"/>
      <c r="F926" s="325"/>
      <c r="G926" s="325"/>
      <c r="H926" s="325"/>
      <c r="I926" s="325"/>
      <c r="J926" s="325"/>
      <c r="K926" s="339"/>
      <c r="L926" s="340"/>
      <c r="M926" s="340"/>
      <c r="N926" s="340"/>
      <c r="O926" s="340"/>
      <c r="P926" s="340"/>
      <c r="Q926" s="340"/>
      <c r="R926" s="340"/>
      <c r="S926" s="348"/>
      <c r="T926" s="348"/>
      <c r="U926" s="348"/>
      <c r="V926" s="340"/>
      <c r="W926" s="340"/>
      <c r="X926" s="340"/>
      <c r="Y926" s="340"/>
    </row>
    <row r="927" spans="1:25" ht="15" thickBot="1" x14ac:dyDescent="0.3">
      <c r="A927" s="325"/>
      <c r="B927" s="325"/>
      <c r="C927" s="325"/>
      <c r="D927" s="325"/>
      <c r="E927" s="325"/>
      <c r="F927" s="325"/>
      <c r="G927" s="325"/>
      <c r="H927" s="325"/>
      <c r="I927" s="325"/>
      <c r="J927" s="325"/>
      <c r="K927" s="339"/>
      <c r="L927" s="340"/>
      <c r="M927" s="340"/>
      <c r="N927" s="340"/>
      <c r="O927" s="340"/>
      <c r="P927" s="340"/>
      <c r="Q927" s="340"/>
      <c r="R927" s="340"/>
      <c r="S927" s="348"/>
      <c r="T927" s="348"/>
      <c r="U927" s="348"/>
      <c r="V927" s="340"/>
      <c r="W927" s="340"/>
      <c r="X927" s="340"/>
      <c r="Y927" s="340"/>
    </row>
    <row r="928" spans="1:25" ht="15" thickBot="1" x14ac:dyDescent="0.3">
      <c r="A928" s="325"/>
      <c r="B928" s="325"/>
      <c r="C928" s="325"/>
      <c r="D928" s="325"/>
      <c r="E928" s="325"/>
      <c r="F928" s="325"/>
      <c r="G928" s="325"/>
      <c r="H928" s="325"/>
      <c r="I928" s="325"/>
      <c r="J928" s="325"/>
      <c r="K928" s="339"/>
      <c r="L928" s="340"/>
      <c r="M928" s="340"/>
      <c r="N928" s="340"/>
      <c r="O928" s="340"/>
      <c r="P928" s="340"/>
      <c r="Q928" s="340"/>
      <c r="R928" s="340"/>
      <c r="S928" s="348"/>
      <c r="T928" s="348"/>
      <c r="U928" s="348"/>
      <c r="V928" s="340"/>
      <c r="W928" s="340"/>
      <c r="X928" s="340"/>
      <c r="Y928" s="340"/>
    </row>
    <row r="929" spans="1:25" ht="15" thickBot="1" x14ac:dyDescent="0.3">
      <c r="A929" s="325"/>
      <c r="B929" s="325"/>
      <c r="C929" s="325"/>
      <c r="D929" s="325"/>
      <c r="E929" s="325"/>
      <c r="F929" s="325"/>
      <c r="G929" s="325"/>
      <c r="H929" s="325"/>
      <c r="I929" s="325"/>
      <c r="J929" s="325"/>
      <c r="K929" s="339"/>
      <c r="L929" s="340"/>
      <c r="M929" s="340"/>
      <c r="N929" s="340"/>
      <c r="O929" s="340"/>
      <c r="P929" s="340"/>
      <c r="Q929" s="340"/>
      <c r="R929" s="340"/>
      <c r="S929" s="348"/>
      <c r="T929" s="348"/>
      <c r="U929" s="348"/>
      <c r="V929" s="340"/>
      <c r="W929" s="340"/>
      <c r="X929" s="340"/>
      <c r="Y929" s="340"/>
    </row>
    <row r="930" spans="1:25" ht="15" thickBot="1" x14ac:dyDescent="0.3">
      <c r="A930" s="325"/>
      <c r="B930" s="325"/>
      <c r="C930" s="325"/>
      <c r="D930" s="325"/>
      <c r="E930" s="325"/>
      <c r="F930" s="325"/>
      <c r="G930" s="325"/>
      <c r="H930" s="325"/>
      <c r="I930" s="325"/>
      <c r="J930" s="325"/>
      <c r="K930" s="339"/>
      <c r="L930" s="340"/>
      <c r="M930" s="340"/>
      <c r="N930" s="340"/>
      <c r="O930" s="340"/>
      <c r="P930" s="340"/>
      <c r="Q930" s="340"/>
      <c r="R930" s="340"/>
      <c r="S930" s="348"/>
      <c r="T930" s="348"/>
      <c r="U930" s="348"/>
      <c r="V930" s="340"/>
      <c r="W930" s="340"/>
      <c r="X930" s="340"/>
      <c r="Y930" s="340"/>
    </row>
    <row r="931" spans="1:25" ht="15" thickBot="1" x14ac:dyDescent="0.3">
      <c r="A931" s="325"/>
      <c r="B931" s="325"/>
      <c r="C931" s="325"/>
      <c r="D931" s="325"/>
      <c r="E931" s="325"/>
      <c r="F931" s="325"/>
      <c r="G931" s="325"/>
      <c r="H931" s="325"/>
      <c r="I931" s="325"/>
      <c r="J931" s="325"/>
      <c r="K931" s="339"/>
      <c r="L931" s="340"/>
      <c r="M931" s="340"/>
      <c r="N931" s="340"/>
      <c r="O931" s="340"/>
      <c r="P931" s="340"/>
      <c r="Q931" s="340"/>
      <c r="R931" s="340"/>
      <c r="S931" s="348"/>
      <c r="T931" s="348"/>
      <c r="U931" s="348"/>
      <c r="V931" s="340"/>
      <c r="W931" s="340"/>
      <c r="X931" s="340"/>
      <c r="Y931" s="340"/>
    </row>
    <row r="932" spans="1:25" ht="15" thickBot="1" x14ac:dyDescent="0.3">
      <c r="A932" s="325"/>
      <c r="B932" s="325"/>
      <c r="C932" s="325"/>
      <c r="D932" s="325"/>
      <c r="E932" s="325"/>
      <c r="F932" s="325"/>
      <c r="G932" s="325"/>
      <c r="H932" s="325"/>
      <c r="I932" s="325"/>
      <c r="J932" s="325"/>
      <c r="K932" s="339"/>
      <c r="L932" s="340"/>
      <c r="M932" s="340"/>
      <c r="N932" s="340"/>
      <c r="O932" s="340"/>
      <c r="P932" s="340"/>
      <c r="Q932" s="340"/>
      <c r="R932" s="340"/>
      <c r="S932" s="348"/>
      <c r="T932" s="348"/>
      <c r="U932" s="348"/>
      <c r="V932" s="340"/>
      <c r="W932" s="340"/>
      <c r="X932" s="340"/>
      <c r="Y932" s="340"/>
    </row>
    <row r="933" spans="1:25" ht="15" thickBot="1" x14ac:dyDescent="0.3">
      <c r="A933" s="325"/>
      <c r="B933" s="325"/>
      <c r="C933" s="325"/>
      <c r="D933" s="325"/>
      <c r="E933" s="325"/>
      <c r="F933" s="325"/>
      <c r="G933" s="325"/>
      <c r="H933" s="325"/>
      <c r="I933" s="325"/>
      <c r="J933" s="325"/>
      <c r="K933" s="339"/>
      <c r="L933" s="340"/>
      <c r="M933" s="340"/>
      <c r="N933" s="340"/>
      <c r="O933" s="340"/>
      <c r="P933" s="340"/>
      <c r="Q933" s="340"/>
      <c r="R933" s="340"/>
      <c r="S933" s="348"/>
      <c r="T933" s="348"/>
      <c r="U933" s="348"/>
      <c r="V933" s="340"/>
      <c r="W933" s="340"/>
      <c r="X933" s="340"/>
      <c r="Y933" s="340"/>
    </row>
    <row r="934" spans="1:25" ht="15" thickBot="1" x14ac:dyDescent="0.3">
      <c r="A934" s="325"/>
      <c r="B934" s="325"/>
      <c r="C934" s="325"/>
      <c r="D934" s="325"/>
      <c r="E934" s="325"/>
      <c r="F934" s="325"/>
      <c r="G934" s="325"/>
      <c r="H934" s="325"/>
      <c r="I934" s="325"/>
      <c r="J934" s="325"/>
      <c r="K934" s="339"/>
      <c r="L934" s="340"/>
      <c r="M934" s="340"/>
      <c r="N934" s="340"/>
      <c r="O934" s="340"/>
      <c r="P934" s="340"/>
      <c r="Q934" s="340"/>
      <c r="R934" s="340"/>
      <c r="S934" s="348"/>
      <c r="T934" s="348"/>
      <c r="U934" s="348"/>
      <c r="V934" s="340"/>
      <c r="W934" s="340"/>
      <c r="X934" s="340"/>
      <c r="Y934" s="340"/>
    </row>
    <row r="935" spans="1:25" ht="15" thickBot="1" x14ac:dyDescent="0.3">
      <c r="A935" s="325"/>
      <c r="B935" s="325"/>
      <c r="C935" s="325"/>
      <c r="D935" s="325"/>
      <c r="E935" s="325"/>
      <c r="F935" s="325"/>
      <c r="G935" s="325"/>
      <c r="H935" s="325"/>
      <c r="I935" s="325"/>
      <c r="J935" s="325"/>
      <c r="K935" s="339"/>
      <c r="L935" s="340"/>
      <c r="M935" s="340"/>
      <c r="N935" s="340"/>
      <c r="O935" s="340"/>
      <c r="P935" s="340"/>
      <c r="Q935" s="340"/>
      <c r="R935" s="340"/>
      <c r="S935" s="348"/>
      <c r="T935" s="348"/>
      <c r="U935" s="348"/>
      <c r="V935" s="340"/>
      <c r="W935" s="340"/>
      <c r="X935" s="340"/>
      <c r="Y935" s="340"/>
    </row>
    <row r="936" spans="1:25" ht="15" thickBot="1" x14ac:dyDescent="0.3">
      <c r="A936" s="325"/>
      <c r="B936" s="325"/>
      <c r="C936" s="325"/>
      <c r="D936" s="325"/>
      <c r="E936" s="325"/>
      <c r="F936" s="325"/>
      <c r="G936" s="325"/>
      <c r="H936" s="325"/>
      <c r="I936" s="325"/>
      <c r="J936" s="325"/>
      <c r="K936" s="339"/>
      <c r="L936" s="340"/>
      <c r="M936" s="340"/>
      <c r="N936" s="340"/>
      <c r="O936" s="340"/>
      <c r="P936" s="340"/>
      <c r="Q936" s="340"/>
      <c r="R936" s="340"/>
      <c r="S936" s="348"/>
      <c r="T936" s="348"/>
      <c r="U936" s="348"/>
      <c r="V936" s="340"/>
      <c r="W936" s="340"/>
      <c r="X936" s="340"/>
      <c r="Y936" s="340"/>
    </row>
    <row r="937" spans="1:25" ht="15" thickBot="1" x14ac:dyDescent="0.3">
      <c r="A937" s="325"/>
      <c r="B937" s="325"/>
      <c r="C937" s="325"/>
      <c r="D937" s="325"/>
      <c r="E937" s="325"/>
      <c r="F937" s="325"/>
      <c r="G937" s="325"/>
      <c r="H937" s="325"/>
      <c r="I937" s="325"/>
      <c r="J937" s="325"/>
      <c r="K937" s="339"/>
      <c r="L937" s="340"/>
      <c r="M937" s="340"/>
      <c r="N937" s="340"/>
      <c r="O937" s="340"/>
      <c r="P937" s="340"/>
      <c r="Q937" s="340"/>
      <c r="R937" s="340"/>
      <c r="S937" s="348"/>
      <c r="T937" s="348"/>
      <c r="U937" s="348"/>
      <c r="V937" s="340"/>
      <c r="W937" s="340"/>
      <c r="X937" s="340"/>
      <c r="Y937" s="340"/>
    </row>
    <row r="938" spans="1:25" ht="15" thickBot="1" x14ac:dyDescent="0.3">
      <c r="A938" s="325"/>
      <c r="B938" s="325"/>
      <c r="C938" s="325"/>
      <c r="D938" s="325"/>
      <c r="E938" s="325"/>
      <c r="F938" s="325"/>
      <c r="G938" s="325"/>
      <c r="H938" s="325"/>
      <c r="I938" s="325"/>
      <c r="J938" s="325"/>
      <c r="K938" s="339"/>
      <c r="L938" s="340"/>
      <c r="M938" s="340"/>
      <c r="N938" s="340"/>
      <c r="O938" s="340"/>
      <c r="P938" s="340"/>
      <c r="Q938" s="340"/>
      <c r="R938" s="340"/>
      <c r="S938" s="348"/>
      <c r="T938" s="348"/>
      <c r="U938" s="348"/>
      <c r="V938" s="340"/>
      <c r="W938" s="340"/>
      <c r="X938" s="340"/>
      <c r="Y938" s="340"/>
    </row>
    <row r="939" spans="1:25" ht="15" thickBot="1" x14ac:dyDescent="0.3">
      <c r="A939" s="325"/>
      <c r="B939" s="325"/>
      <c r="C939" s="325"/>
      <c r="D939" s="325"/>
      <c r="E939" s="325"/>
      <c r="F939" s="325"/>
      <c r="G939" s="325"/>
      <c r="H939" s="325"/>
      <c r="I939" s="325"/>
      <c r="J939" s="325"/>
      <c r="K939" s="339"/>
      <c r="L939" s="340"/>
      <c r="M939" s="340"/>
      <c r="N939" s="340"/>
      <c r="O939" s="340"/>
      <c r="P939" s="340"/>
      <c r="Q939" s="340"/>
      <c r="R939" s="340"/>
      <c r="S939" s="348"/>
      <c r="T939" s="348"/>
      <c r="U939" s="348"/>
      <c r="V939" s="340"/>
      <c r="W939" s="340"/>
      <c r="X939" s="340"/>
      <c r="Y939" s="340"/>
    </row>
    <row r="940" spans="1:25" ht="15" thickBot="1" x14ac:dyDescent="0.3">
      <c r="A940" s="325"/>
      <c r="B940" s="325"/>
      <c r="C940" s="325"/>
      <c r="D940" s="325"/>
      <c r="E940" s="325"/>
      <c r="F940" s="325"/>
      <c r="G940" s="325"/>
      <c r="H940" s="325"/>
      <c r="I940" s="325"/>
      <c r="J940" s="325"/>
      <c r="K940" s="339"/>
      <c r="L940" s="340"/>
      <c r="M940" s="340"/>
      <c r="N940" s="340"/>
      <c r="O940" s="340"/>
      <c r="P940" s="340"/>
      <c r="Q940" s="340"/>
      <c r="R940" s="340"/>
      <c r="S940" s="348"/>
      <c r="T940" s="348"/>
      <c r="U940" s="348"/>
      <c r="V940" s="340"/>
      <c r="W940" s="340"/>
      <c r="X940" s="340"/>
      <c r="Y940" s="340"/>
    </row>
    <row r="941" spans="1:25" ht="15" thickBot="1" x14ac:dyDescent="0.3">
      <c r="A941" s="325"/>
      <c r="B941" s="325"/>
      <c r="C941" s="325"/>
      <c r="D941" s="325"/>
      <c r="E941" s="325"/>
      <c r="F941" s="325"/>
      <c r="G941" s="325"/>
      <c r="H941" s="325"/>
      <c r="I941" s="325"/>
      <c r="J941" s="325"/>
      <c r="K941" s="339"/>
      <c r="L941" s="340"/>
      <c r="M941" s="340"/>
      <c r="N941" s="340"/>
      <c r="O941" s="340"/>
      <c r="P941" s="340"/>
      <c r="Q941" s="340"/>
      <c r="R941" s="340"/>
      <c r="S941" s="348"/>
      <c r="T941" s="348"/>
      <c r="U941" s="348"/>
      <c r="V941" s="340"/>
      <c r="W941" s="340"/>
      <c r="X941" s="340"/>
      <c r="Y941" s="340"/>
    </row>
    <row r="942" spans="1:25" ht="15" thickBot="1" x14ac:dyDescent="0.3">
      <c r="A942" s="325"/>
      <c r="B942" s="325"/>
      <c r="C942" s="325"/>
      <c r="D942" s="325"/>
      <c r="E942" s="325"/>
      <c r="F942" s="325"/>
      <c r="G942" s="325"/>
      <c r="H942" s="325"/>
      <c r="I942" s="325"/>
      <c r="J942" s="325"/>
      <c r="K942" s="339"/>
      <c r="L942" s="340"/>
      <c r="M942" s="340"/>
      <c r="N942" s="340"/>
      <c r="O942" s="340"/>
      <c r="P942" s="340"/>
      <c r="Q942" s="340"/>
      <c r="R942" s="340"/>
      <c r="S942" s="348"/>
      <c r="T942" s="348"/>
      <c r="U942" s="348"/>
      <c r="V942" s="340"/>
      <c r="W942" s="340"/>
      <c r="X942" s="340"/>
      <c r="Y942" s="340"/>
    </row>
    <row r="943" spans="1:25" ht="15" thickBot="1" x14ac:dyDescent="0.3">
      <c r="A943" s="325"/>
      <c r="B943" s="325"/>
      <c r="C943" s="325"/>
      <c r="D943" s="325"/>
      <c r="E943" s="325"/>
      <c r="F943" s="325"/>
      <c r="G943" s="325"/>
      <c r="H943" s="325"/>
      <c r="I943" s="325"/>
      <c r="J943" s="325"/>
      <c r="K943" s="339"/>
      <c r="L943" s="340"/>
      <c r="M943" s="340"/>
      <c r="N943" s="340"/>
      <c r="O943" s="340"/>
      <c r="P943" s="340"/>
      <c r="Q943" s="340"/>
      <c r="R943" s="340"/>
      <c r="S943" s="348"/>
      <c r="T943" s="348"/>
      <c r="U943" s="348"/>
      <c r="V943" s="340"/>
      <c r="W943" s="340"/>
      <c r="X943" s="340"/>
      <c r="Y943" s="340"/>
    </row>
    <row r="944" spans="1:25" ht="15" thickBot="1" x14ac:dyDescent="0.3">
      <c r="A944" s="325"/>
      <c r="B944" s="325"/>
      <c r="C944" s="325"/>
      <c r="D944" s="325"/>
      <c r="E944" s="325"/>
      <c r="F944" s="325"/>
      <c r="G944" s="325"/>
      <c r="H944" s="325"/>
      <c r="I944" s="325"/>
      <c r="J944" s="325"/>
      <c r="K944" s="339"/>
      <c r="L944" s="340"/>
      <c r="M944" s="340"/>
      <c r="N944" s="340"/>
      <c r="O944" s="340"/>
      <c r="P944" s="340"/>
      <c r="Q944" s="340"/>
      <c r="R944" s="340"/>
      <c r="S944" s="348"/>
      <c r="T944" s="348"/>
      <c r="U944" s="348"/>
      <c r="V944" s="340"/>
      <c r="W944" s="340"/>
      <c r="X944" s="340"/>
      <c r="Y944" s="340"/>
    </row>
    <row r="945" spans="1:25" ht="15" thickBot="1" x14ac:dyDescent="0.3">
      <c r="A945" s="325"/>
      <c r="B945" s="325"/>
      <c r="C945" s="325"/>
      <c r="D945" s="325"/>
      <c r="E945" s="325"/>
      <c r="F945" s="325"/>
      <c r="G945" s="325"/>
      <c r="H945" s="325"/>
      <c r="I945" s="325"/>
      <c r="J945" s="325"/>
      <c r="K945" s="339"/>
      <c r="L945" s="340"/>
      <c r="M945" s="340"/>
      <c r="N945" s="340"/>
      <c r="O945" s="340"/>
      <c r="P945" s="340"/>
      <c r="Q945" s="340"/>
      <c r="R945" s="340"/>
      <c r="S945" s="348"/>
      <c r="T945" s="348"/>
      <c r="U945" s="348"/>
      <c r="V945" s="340"/>
      <c r="W945" s="340"/>
      <c r="X945" s="340"/>
      <c r="Y945" s="340"/>
    </row>
    <row r="946" spans="1:25" ht="15" thickBot="1" x14ac:dyDescent="0.3">
      <c r="A946" s="325"/>
      <c r="B946" s="325"/>
      <c r="C946" s="325"/>
      <c r="D946" s="325"/>
      <c r="E946" s="325"/>
      <c r="F946" s="325"/>
      <c r="G946" s="325"/>
      <c r="H946" s="325"/>
      <c r="I946" s="325"/>
      <c r="J946" s="325"/>
      <c r="K946" s="339"/>
      <c r="L946" s="340"/>
      <c r="M946" s="340"/>
      <c r="N946" s="340"/>
      <c r="O946" s="340"/>
      <c r="P946" s="340"/>
      <c r="Q946" s="340"/>
      <c r="R946" s="340"/>
      <c r="S946" s="348"/>
      <c r="T946" s="348"/>
      <c r="U946" s="348"/>
      <c r="V946" s="340"/>
      <c r="W946" s="340"/>
      <c r="X946" s="340"/>
      <c r="Y946" s="340"/>
    </row>
    <row r="947" spans="1:25" ht="15" thickBot="1" x14ac:dyDescent="0.3">
      <c r="A947" s="325"/>
      <c r="B947" s="325"/>
      <c r="C947" s="325"/>
      <c r="D947" s="325"/>
      <c r="E947" s="325"/>
      <c r="F947" s="325"/>
      <c r="G947" s="325"/>
      <c r="H947" s="325"/>
      <c r="I947" s="325"/>
      <c r="J947" s="325"/>
      <c r="K947" s="339"/>
      <c r="L947" s="340"/>
      <c r="M947" s="340"/>
      <c r="N947" s="340"/>
      <c r="O947" s="340"/>
      <c r="P947" s="340"/>
      <c r="Q947" s="340"/>
      <c r="R947" s="340"/>
      <c r="S947" s="348"/>
      <c r="T947" s="348"/>
      <c r="U947" s="348"/>
      <c r="V947" s="340"/>
      <c r="W947" s="340"/>
      <c r="X947" s="340"/>
      <c r="Y947" s="340"/>
    </row>
    <row r="948" spans="1:25" ht="15" thickBot="1" x14ac:dyDescent="0.3">
      <c r="A948" s="325"/>
      <c r="B948" s="325"/>
      <c r="C948" s="325"/>
      <c r="D948" s="325"/>
      <c r="E948" s="325"/>
      <c r="F948" s="325"/>
      <c r="G948" s="325"/>
      <c r="H948" s="325"/>
      <c r="I948" s="325"/>
      <c r="J948" s="325"/>
      <c r="K948" s="339"/>
      <c r="L948" s="340"/>
      <c r="M948" s="340"/>
      <c r="N948" s="340"/>
      <c r="O948" s="340"/>
      <c r="P948" s="340"/>
      <c r="Q948" s="340"/>
      <c r="R948" s="340"/>
      <c r="S948" s="348"/>
      <c r="T948" s="348"/>
      <c r="U948" s="348"/>
      <c r="V948" s="340"/>
      <c r="W948" s="340"/>
      <c r="X948" s="340"/>
      <c r="Y948" s="340"/>
    </row>
    <row r="949" spans="1:25" ht="15" thickBot="1" x14ac:dyDescent="0.3">
      <c r="A949" s="325"/>
      <c r="B949" s="325"/>
      <c r="C949" s="325"/>
      <c r="D949" s="325"/>
      <c r="E949" s="325"/>
      <c r="F949" s="325"/>
      <c r="G949" s="325"/>
      <c r="H949" s="325"/>
      <c r="I949" s="325"/>
      <c r="J949" s="325"/>
      <c r="K949" s="339"/>
      <c r="L949" s="340"/>
      <c r="M949" s="340"/>
      <c r="N949" s="340"/>
      <c r="O949" s="340"/>
      <c r="P949" s="340"/>
      <c r="Q949" s="340"/>
      <c r="R949" s="340"/>
      <c r="S949" s="348"/>
      <c r="T949" s="348"/>
      <c r="U949" s="348"/>
      <c r="V949" s="340"/>
      <c r="W949" s="340"/>
      <c r="X949" s="340"/>
      <c r="Y949" s="340"/>
    </row>
    <row r="950" spans="1:25" ht="15" thickBot="1" x14ac:dyDescent="0.3">
      <c r="A950" s="325"/>
      <c r="B950" s="325"/>
      <c r="C950" s="325"/>
      <c r="D950" s="325"/>
      <c r="E950" s="325"/>
      <c r="F950" s="325"/>
      <c r="G950" s="325"/>
      <c r="H950" s="325"/>
      <c r="I950" s="325"/>
      <c r="J950" s="325"/>
      <c r="K950" s="339"/>
      <c r="L950" s="340"/>
      <c r="M950" s="340"/>
      <c r="N950" s="340"/>
      <c r="O950" s="340"/>
      <c r="P950" s="340"/>
      <c r="Q950" s="340"/>
      <c r="R950" s="340"/>
      <c r="S950" s="348"/>
      <c r="T950" s="348"/>
      <c r="U950" s="348"/>
      <c r="V950" s="340"/>
      <c r="W950" s="340"/>
      <c r="X950" s="340"/>
      <c r="Y950" s="340"/>
    </row>
    <row r="951" spans="1:25" ht="15" thickBot="1" x14ac:dyDescent="0.3">
      <c r="A951" s="325"/>
      <c r="B951" s="325"/>
      <c r="C951" s="325"/>
      <c r="D951" s="325"/>
      <c r="E951" s="325"/>
      <c r="F951" s="325"/>
      <c r="G951" s="325"/>
      <c r="H951" s="325"/>
      <c r="I951" s="325"/>
      <c r="J951" s="325"/>
      <c r="K951" s="339"/>
      <c r="L951" s="340"/>
      <c r="M951" s="340"/>
      <c r="N951" s="340"/>
      <c r="O951" s="340"/>
      <c r="P951" s="340"/>
      <c r="Q951" s="340"/>
      <c r="R951" s="340"/>
      <c r="S951" s="348"/>
      <c r="T951" s="348"/>
      <c r="U951" s="348"/>
      <c r="V951" s="340"/>
      <c r="W951" s="340"/>
      <c r="X951" s="340"/>
      <c r="Y951" s="340"/>
    </row>
    <row r="952" spans="1:25" ht="15" thickBot="1" x14ac:dyDescent="0.3">
      <c r="A952" s="325"/>
      <c r="B952" s="325"/>
      <c r="C952" s="325"/>
      <c r="D952" s="325"/>
      <c r="E952" s="325"/>
      <c r="F952" s="325"/>
      <c r="G952" s="325"/>
      <c r="H952" s="325"/>
      <c r="I952" s="325"/>
      <c r="J952" s="325"/>
      <c r="K952" s="339"/>
      <c r="L952" s="340"/>
      <c r="M952" s="340"/>
      <c r="N952" s="340"/>
      <c r="O952" s="340"/>
      <c r="P952" s="340"/>
      <c r="Q952" s="340"/>
      <c r="R952" s="340"/>
      <c r="S952" s="348"/>
      <c r="T952" s="348"/>
      <c r="U952" s="348"/>
      <c r="V952" s="340"/>
      <c r="W952" s="340"/>
      <c r="X952" s="340"/>
      <c r="Y952" s="340"/>
    </row>
    <row r="953" spans="1:25" ht="15" thickBot="1" x14ac:dyDescent="0.3">
      <c r="A953" s="325"/>
      <c r="B953" s="325"/>
      <c r="C953" s="325"/>
      <c r="D953" s="325"/>
      <c r="E953" s="325"/>
      <c r="F953" s="325"/>
      <c r="G953" s="325"/>
      <c r="H953" s="325"/>
      <c r="I953" s="325"/>
      <c r="J953" s="325"/>
      <c r="K953" s="339"/>
      <c r="L953" s="340"/>
      <c r="M953" s="340"/>
      <c r="N953" s="340"/>
      <c r="O953" s="340"/>
      <c r="P953" s="340"/>
      <c r="Q953" s="340"/>
      <c r="R953" s="340"/>
      <c r="S953" s="348"/>
      <c r="T953" s="348"/>
      <c r="U953" s="348"/>
      <c r="V953" s="340"/>
      <c r="W953" s="340"/>
      <c r="X953" s="340"/>
      <c r="Y953" s="340"/>
    </row>
    <row r="954" spans="1:25" ht="15" thickBot="1" x14ac:dyDescent="0.3">
      <c r="A954" s="325"/>
      <c r="B954" s="325"/>
      <c r="C954" s="325"/>
      <c r="D954" s="325"/>
      <c r="E954" s="325"/>
      <c r="F954" s="325"/>
      <c r="G954" s="325"/>
      <c r="H954" s="325"/>
      <c r="I954" s="325"/>
      <c r="J954" s="325"/>
      <c r="K954" s="339"/>
      <c r="L954" s="340"/>
      <c r="M954" s="340"/>
      <c r="N954" s="340"/>
      <c r="O954" s="340"/>
      <c r="P954" s="340"/>
      <c r="Q954" s="340"/>
      <c r="R954" s="340"/>
      <c r="S954" s="348"/>
      <c r="T954" s="348"/>
      <c r="U954" s="348"/>
      <c r="V954" s="340"/>
      <c r="W954" s="340"/>
      <c r="X954" s="340"/>
      <c r="Y954" s="340"/>
    </row>
    <row r="955" spans="1:25" ht="15" thickBot="1" x14ac:dyDescent="0.3">
      <c r="A955" s="325"/>
      <c r="B955" s="325"/>
      <c r="C955" s="325"/>
      <c r="D955" s="325"/>
      <c r="E955" s="325"/>
      <c r="F955" s="325"/>
      <c r="G955" s="325"/>
      <c r="H955" s="325"/>
      <c r="I955" s="325"/>
      <c r="J955" s="325"/>
      <c r="K955" s="339"/>
      <c r="L955" s="340"/>
      <c r="M955" s="340"/>
      <c r="N955" s="340"/>
      <c r="O955" s="340"/>
      <c r="P955" s="340"/>
      <c r="Q955" s="340"/>
      <c r="R955" s="340"/>
      <c r="S955" s="348"/>
      <c r="T955" s="348"/>
      <c r="U955" s="348"/>
      <c r="V955" s="340"/>
      <c r="W955" s="340"/>
      <c r="X955" s="340"/>
      <c r="Y955" s="340"/>
    </row>
    <row r="956" spans="1:25" ht="15" thickBot="1" x14ac:dyDescent="0.3">
      <c r="A956" s="325"/>
      <c r="B956" s="325"/>
      <c r="C956" s="325"/>
      <c r="D956" s="325"/>
      <c r="E956" s="325"/>
      <c r="F956" s="325"/>
      <c r="G956" s="325"/>
      <c r="H956" s="325"/>
      <c r="I956" s="325"/>
      <c r="J956" s="325"/>
      <c r="K956" s="339"/>
      <c r="L956" s="340"/>
      <c r="M956" s="340"/>
      <c r="N956" s="340"/>
      <c r="O956" s="340"/>
      <c r="P956" s="340"/>
      <c r="Q956" s="340"/>
      <c r="R956" s="340"/>
      <c r="S956" s="348"/>
      <c r="T956" s="348"/>
      <c r="U956" s="348"/>
      <c r="V956" s="340"/>
      <c r="W956" s="340"/>
      <c r="X956" s="340"/>
      <c r="Y956" s="340"/>
    </row>
    <row r="957" spans="1:25" ht="15" thickBot="1" x14ac:dyDescent="0.3">
      <c r="A957" s="325"/>
      <c r="B957" s="325"/>
      <c r="C957" s="325"/>
      <c r="D957" s="325"/>
      <c r="E957" s="325"/>
      <c r="F957" s="325"/>
      <c r="G957" s="325"/>
      <c r="H957" s="325"/>
      <c r="I957" s="325"/>
      <c r="J957" s="325"/>
      <c r="K957" s="339"/>
      <c r="L957" s="340"/>
      <c r="M957" s="340"/>
      <c r="N957" s="340"/>
      <c r="O957" s="340"/>
      <c r="P957" s="340"/>
      <c r="Q957" s="340"/>
      <c r="R957" s="340"/>
      <c r="S957" s="348"/>
      <c r="T957" s="348"/>
      <c r="U957" s="348"/>
      <c r="V957" s="340"/>
      <c r="W957" s="340"/>
      <c r="X957" s="340"/>
      <c r="Y957" s="340"/>
    </row>
    <row r="958" spans="1:25" ht="15" thickBot="1" x14ac:dyDescent="0.3">
      <c r="A958" s="325"/>
      <c r="B958" s="325"/>
      <c r="C958" s="325"/>
      <c r="D958" s="325"/>
      <c r="E958" s="325"/>
      <c r="F958" s="325"/>
      <c r="G958" s="325"/>
      <c r="H958" s="325"/>
      <c r="I958" s="325"/>
      <c r="J958" s="325"/>
      <c r="K958" s="339"/>
      <c r="L958" s="340"/>
      <c r="M958" s="340"/>
      <c r="N958" s="340"/>
      <c r="O958" s="340"/>
      <c r="P958" s="340"/>
      <c r="Q958" s="340"/>
      <c r="R958" s="340"/>
      <c r="S958" s="348"/>
      <c r="T958" s="348"/>
      <c r="U958" s="348"/>
      <c r="V958" s="340"/>
      <c r="W958" s="340"/>
      <c r="X958" s="340"/>
      <c r="Y958" s="340"/>
    </row>
    <row r="959" spans="1:25" ht="15" thickBot="1" x14ac:dyDescent="0.3">
      <c r="A959" s="325"/>
      <c r="B959" s="325"/>
      <c r="C959" s="325"/>
      <c r="D959" s="325"/>
      <c r="E959" s="325"/>
      <c r="F959" s="325"/>
      <c r="G959" s="325"/>
      <c r="H959" s="325"/>
      <c r="I959" s="325"/>
      <c r="J959" s="325"/>
      <c r="K959" s="339"/>
      <c r="L959" s="340"/>
      <c r="M959" s="340"/>
      <c r="N959" s="340"/>
      <c r="O959" s="340"/>
      <c r="P959" s="340"/>
      <c r="Q959" s="340"/>
      <c r="R959" s="340"/>
      <c r="S959" s="348"/>
      <c r="T959" s="348"/>
      <c r="U959" s="348"/>
      <c r="V959" s="340"/>
      <c r="W959" s="340"/>
      <c r="X959" s="340"/>
      <c r="Y959" s="340"/>
    </row>
    <row r="960" spans="1:25" ht="15" thickBot="1" x14ac:dyDescent="0.3">
      <c r="A960" s="325"/>
      <c r="B960" s="325"/>
      <c r="C960" s="325"/>
      <c r="D960" s="325"/>
      <c r="E960" s="325"/>
      <c r="F960" s="325"/>
      <c r="G960" s="325"/>
      <c r="H960" s="325"/>
      <c r="I960" s="325"/>
      <c r="J960" s="325"/>
      <c r="K960" s="339"/>
      <c r="L960" s="340"/>
      <c r="M960" s="340"/>
      <c r="N960" s="340"/>
      <c r="O960" s="340"/>
      <c r="P960" s="340"/>
      <c r="Q960" s="340"/>
      <c r="R960" s="340"/>
      <c r="S960" s="348"/>
      <c r="T960" s="348"/>
      <c r="U960" s="348"/>
      <c r="V960" s="340"/>
      <c r="W960" s="340"/>
      <c r="X960" s="340"/>
      <c r="Y960" s="340"/>
    </row>
    <row r="961" spans="1:25" ht="15" thickBot="1" x14ac:dyDescent="0.3">
      <c r="A961" s="325"/>
      <c r="B961" s="325"/>
      <c r="C961" s="325"/>
      <c r="D961" s="325"/>
      <c r="E961" s="325"/>
      <c r="F961" s="325"/>
      <c r="G961" s="325"/>
      <c r="H961" s="325"/>
      <c r="I961" s="325"/>
      <c r="J961" s="325"/>
      <c r="K961" s="339"/>
      <c r="L961" s="340"/>
      <c r="M961" s="340"/>
      <c r="N961" s="340"/>
      <c r="O961" s="340"/>
      <c r="P961" s="340"/>
      <c r="Q961" s="340"/>
      <c r="R961" s="340"/>
      <c r="S961" s="348"/>
      <c r="T961" s="348"/>
      <c r="U961" s="348"/>
      <c r="V961" s="340"/>
      <c r="W961" s="340"/>
      <c r="X961" s="340"/>
      <c r="Y961" s="340"/>
    </row>
    <row r="962" spans="1:25" ht="15" thickBot="1" x14ac:dyDescent="0.3">
      <c r="A962" s="325"/>
      <c r="B962" s="325"/>
      <c r="C962" s="325"/>
      <c r="D962" s="325"/>
      <c r="E962" s="325"/>
      <c r="F962" s="325"/>
      <c r="G962" s="325"/>
      <c r="H962" s="325"/>
      <c r="I962" s="325"/>
      <c r="J962" s="325"/>
      <c r="K962" s="339"/>
      <c r="L962" s="340"/>
      <c r="M962" s="340"/>
      <c r="N962" s="340"/>
      <c r="O962" s="340"/>
      <c r="P962" s="340"/>
      <c r="Q962" s="340"/>
      <c r="R962" s="340"/>
      <c r="S962" s="348"/>
      <c r="T962" s="348"/>
      <c r="U962" s="348"/>
      <c r="V962" s="340"/>
      <c r="W962" s="340"/>
      <c r="X962" s="340"/>
      <c r="Y962" s="340"/>
    </row>
    <row r="963" spans="1:25" ht="15" thickBot="1" x14ac:dyDescent="0.3">
      <c r="A963" s="325"/>
      <c r="B963" s="325"/>
      <c r="C963" s="325"/>
      <c r="D963" s="325"/>
      <c r="E963" s="325"/>
      <c r="F963" s="325"/>
      <c r="G963" s="325"/>
      <c r="H963" s="325"/>
      <c r="I963" s="325"/>
      <c r="J963" s="325"/>
      <c r="K963" s="339"/>
      <c r="L963" s="340"/>
      <c r="M963" s="340"/>
      <c r="N963" s="340"/>
      <c r="O963" s="340"/>
      <c r="P963" s="340"/>
      <c r="Q963" s="340"/>
      <c r="R963" s="340"/>
      <c r="S963" s="348"/>
      <c r="T963" s="348"/>
      <c r="U963" s="348"/>
      <c r="V963" s="340"/>
      <c r="W963" s="340"/>
      <c r="X963" s="340"/>
      <c r="Y963" s="340"/>
    </row>
    <row r="964" spans="1:25" ht="15" thickBot="1" x14ac:dyDescent="0.3">
      <c r="A964" s="325"/>
      <c r="B964" s="325"/>
      <c r="C964" s="325"/>
      <c r="D964" s="325"/>
      <c r="E964" s="325"/>
      <c r="F964" s="325"/>
      <c r="G964" s="325"/>
      <c r="H964" s="325"/>
      <c r="I964" s="325"/>
      <c r="J964" s="325"/>
      <c r="K964" s="339"/>
      <c r="L964" s="340"/>
      <c r="M964" s="340"/>
      <c r="N964" s="340"/>
      <c r="O964" s="340"/>
      <c r="P964" s="340"/>
      <c r="Q964" s="340"/>
      <c r="R964" s="340"/>
      <c r="S964" s="348"/>
      <c r="T964" s="348"/>
      <c r="U964" s="348"/>
      <c r="V964" s="340"/>
      <c r="W964" s="340"/>
      <c r="X964" s="340"/>
      <c r="Y964" s="340"/>
    </row>
    <row r="965" spans="1:25" ht="15" thickBot="1" x14ac:dyDescent="0.3">
      <c r="A965" s="325"/>
      <c r="B965" s="325"/>
      <c r="C965" s="325"/>
      <c r="D965" s="325"/>
      <c r="E965" s="325"/>
      <c r="F965" s="325"/>
      <c r="G965" s="325"/>
      <c r="H965" s="325"/>
      <c r="I965" s="325"/>
      <c r="J965" s="325"/>
      <c r="K965" s="339"/>
      <c r="L965" s="340"/>
      <c r="M965" s="340"/>
      <c r="N965" s="340"/>
      <c r="O965" s="340"/>
      <c r="P965" s="340"/>
      <c r="Q965" s="340"/>
      <c r="R965" s="340"/>
      <c r="S965" s="348"/>
      <c r="T965" s="348"/>
      <c r="U965" s="348"/>
      <c r="V965" s="340"/>
      <c r="W965" s="340"/>
      <c r="X965" s="340"/>
      <c r="Y965" s="340"/>
    </row>
    <row r="966" spans="1:25" ht="15" thickBot="1" x14ac:dyDescent="0.3">
      <c r="A966" s="325"/>
      <c r="B966" s="325"/>
      <c r="C966" s="325"/>
      <c r="D966" s="325"/>
      <c r="E966" s="325"/>
      <c r="F966" s="325"/>
      <c r="G966" s="325"/>
      <c r="H966" s="325"/>
      <c r="I966" s="325"/>
      <c r="J966" s="325"/>
      <c r="K966" s="339"/>
      <c r="L966" s="340"/>
      <c r="M966" s="340"/>
      <c r="N966" s="340"/>
      <c r="O966" s="340"/>
      <c r="P966" s="340"/>
      <c r="Q966" s="340"/>
      <c r="R966" s="340"/>
      <c r="S966" s="348"/>
      <c r="T966" s="348"/>
      <c r="U966" s="348"/>
      <c r="V966" s="340"/>
      <c r="W966" s="340"/>
      <c r="X966" s="340"/>
      <c r="Y966" s="340"/>
    </row>
    <row r="967" spans="1:25" ht="15" thickBot="1" x14ac:dyDescent="0.3">
      <c r="A967" s="325"/>
      <c r="B967" s="325"/>
      <c r="C967" s="325"/>
      <c r="D967" s="325"/>
      <c r="E967" s="325"/>
      <c r="F967" s="325"/>
      <c r="G967" s="325"/>
      <c r="H967" s="325"/>
      <c r="I967" s="325"/>
      <c r="J967" s="325"/>
      <c r="K967" s="339"/>
      <c r="L967" s="340"/>
      <c r="M967" s="340"/>
      <c r="N967" s="340"/>
      <c r="O967" s="340"/>
      <c r="P967" s="340"/>
      <c r="Q967" s="340"/>
      <c r="R967" s="340"/>
      <c r="S967" s="348"/>
      <c r="T967" s="348"/>
      <c r="U967" s="348"/>
      <c r="V967" s="340"/>
      <c r="W967" s="340"/>
      <c r="X967" s="340"/>
      <c r="Y967" s="340"/>
    </row>
    <row r="968" spans="1:25" ht="15" thickBot="1" x14ac:dyDescent="0.3">
      <c r="A968" s="325"/>
      <c r="B968" s="325"/>
      <c r="C968" s="325"/>
      <c r="D968" s="325"/>
      <c r="E968" s="325"/>
      <c r="F968" s="325"/>
      <c r="G968" s="325"/>
      <c r="H968" s="325"/>
      <c r="I968" s="325"/>
      <c r="J968" s="325"/>
      <c r="K968" s="339"/>
      <c r="L968" s="340"/>
      <c r="M968" s="340"/>
      <c r="N968" s="340"/>
      <c r="O968" s="340"/>
      <c r="P968" s="340"/>
      <c r="Q968" s="340"/>
      <c r="R968" s="340"/>
      <c r="S968" s="348"/>
      <c r="T968" s="348"/>
      <c r="U968" s="348"/>
      <c r="V968" s="340"/>
      <c r="W968" s="340"/>
      <c r="X968" s="340"/>
      <c r="Y968" s="340"/>
    </row>
    <row r="969" spans="1:25" ht="15" thickBot="1" x14ac:dyDescent="0.3">
      <c r="A969" s="325"/>
      <c r="B969" s="325"/>
      <c r="C969" s="325"/>
      <c r="D969" s="325"/>
      <c r="E969" s="325"/>
      <c r="F969" s="325"/>
      <c r="G969" s="325"/>
      <c r="H969" s="325"/>
      <c r="I969" s="325"/>
      <c r="J969" s="325"/>
      <c r="K969" s="339"/>
      <c r="L969" s="340"/>
      <c r="M969" s="340"/>
      <c r="N969" s="340"/>
      <c r="O969" s="340"/>
      <c r="P969" s="340"/>
      <c r="Q969" s="340"/>
      <c r="R969" s="340"/>
      <c r="S969" s="348"/>
      <c r="T969" s="348"/>
      <c r="U969" s="348"/>
      <c r="V969" s="340"/>
      <c r="W969" s="340"/>
      <c r="X969" s="340"/>
      <c r="Y969" s="340"/>
    </row>
    <row r="970" spans="1:25" ht="15" thickBot="1" x14ac:dyDescent="0.3">
      <c r="A970" s="325"/>
      <c r="B970" s="325"/>
      <c r="C970" s="325"/>
      <c r="D970" s="325"/>
      <c r="E970" s="325"/>
      <c r="F970" s="325"/>
      <c r="G970" s="325"/>
      <c r="H970" s="325"/>
      <c r="I970" s="325"/>
      <c r="J970" s="325"/>
      <c r="K970" s="339"/>
      <c r="L970" s="340"/>
      <c r="M970" s="340"/>
      <c r="N970" s="340"/>
      <c r="O970" s="340"/>
      <c r="P970" s="340"/>
      <c r="Q970" s="340"/>
      <c r="R970" s="340"/>
      <c r="S970" s="348"/>
      <c r="T970" s="348"/>
      <c r="U970" s="348"/>
      <c r="V970" s="340"/>
      <c r="W970" s="340"/>
      <c r="X970" s="340"/>
      <c r="Y970" s="340"/>
    </row>
    <row r="971" spans="1:25" ht="15" thickBot="1" x14ac:dyDescent="0.3">
      <c r="A971" s="325"/>
      <c r="B971" s="325"/>
      <c r="C971" s="325"/>
      <c r="D971" s="325"/>
      <c r="E971" s="325"/>
      <c r="F971" s="325"/>
      <c r="G971" s="325"/>
      <c r="H971" s="325"/>
      <c r="I971" s="325"/>
      <c r="J971" s="325"/>
      <c r="K971" s="339"/>
      <c r="L971" s="340"/>
      <c r="M971" s="340"/>
      <c r="N971" s="340"/>
      <c r="O971" s="340"/>
      <c r="P971" s="340"/>
      <c r="Q971" s="340"/>
      <c r="R971" s="340"/>
      <c r="S971" s="348"/>
      <c r="T971" s="348"/>
      <c r="U971" s="348"/>
      <c r="V971" s="340"/>
      <c r="W971" s="340"/>
      <c r="X971" s="340"/>
      <c r="Y971" s="340"/>
    </row>
    <row r="972" spans="1:25" ht="15" thickBot="1" x14ac:dyDescent="0.3">
      <c r="A972" s="325"/>
      <c r="B972" s="325"/>
      <c r="C972" s="325"/>
      <c r="D972" s="325"/>
      <c r="E972" s="325"/>
      <c r="F972" s="325"/>
      <c r="G972" s="325"/>
      <c r="H972" s="325"/>
      <c r="I972" s="325"/>
      <c r="J972" s="325"/>
      <c r="K972" s="339"/>
      <c r="L972" s="340"/>
      <c r="M972" s="340"/>
      <c r="N972" s="340"/>
      <c r="O972" s="340"/>
      <c r="P972" s="340"/>
      <c r="Q972" s="340"/>
      <c r="R972" s="340"/>
      <c r="S972" s="348"/>
      <c r="T972" s="348"/>
      <c r="U972" s="348"/>
      <c r="V972" s="340"/>
      <c r="W972" s="340"/>
      <c r="X972" s="340"/>
      <c r="Y972" s="340"/>
    </row>
    <row r="973" spans="1:25" ht="15" thickBot="1" x14ac:dyDescent="0.3">
      <c r="A973" s="325"/>
      <c r="B973" s="325"/>
      <c r="C973" s="325"/>
      <c r="D973" s="325"/>
      <c r="E973" s="325"/>
      <c r="F973" s="325"/>
      <c r="G973" s="325"/>
      <c r="H973" s="325"/>
      <c r="I973" s="325"/>
      <c r="J973" s="325"/>
      <c r="K973" s="339"/>
      <c r="L973" s="340"/>
      <c r="M973" s="340"/>
      <c r="N973" s="340"/>
      <c r="O973" s="340"/>
      <c r="P973" s="340"/>
      <c r="Q973" s="340"/>
      <c r="R973" s="340"/>
      <c r="S973" s="348"/>
      <c r="T973" s="348"/>
      <c r="U973" s="348"/>
      <c r="V973" s="340"/>
      <c r="W973" s="340"/>
      <c r="X973" s="340"/>
      <c r="Y973" s="340"/>
    </row>
    <row r="974" spans="1:25" ht="15" thickBot="1" x14ac:dyDescent="0.3">
      <c r="A974" s="325"/>
      <c r="B974" s="325"/>
      <c r="C974" s="325"/>
      <c r="D974" s="325"/>
      <c r="E974" s="325"/>
      <c r="F974" s="325"/>
      <c r="G974" s="325"/>
      <c r="H974" s="325"/>
      <c r="I974" s="325"/>
      <c r="J974" s="325"/>
      <c r="K974" s="339"/>
      <c r="L974" s="340"/>
      <c r="M974" s="340"/>
      <c r="N974" s="340"/>
      <c r="O974" s="340"/>
      <c r="P974" s="340"/>
      <c r="Q974" s="340"/>
      <c r="R974" s="340"/>
      <c r="S974" s="348"/>
      <c r="T974" s="348"/>
      <c r="U974" s="348"/>
      <c r="V974" s="340"/>
      <c r="W974" s="340"/>
      <c r="X974" s="340"/>
      <c r="Y974" s="340"/>
    </row>
    <row r="975" spans="1:25" ht="15" thickBot="1" x14ac:dyDescent="0.3">
      <c r="A975" s="325"/>
      <c r="B975" s="325"/>
      <c r="C975" s="325"/>
      <c r="D975" s="325"/>
      <c r="E975" s="325"/>
      <c r="F975" s="325"/>
      <c r="G975" s="325"/>
      <c r="H975" s="325"/>
      <c r="I975" s="325"/>
      <c r="J975" s="325"/>
      <c r="K975" s="339"/>
      <c r="L975" s="340"/>
      <c r="M975" s="340"/>
      <c r="N975" s="340"/>
      <c r="O975" s="340"/>
      <c r="P975" s="340"/>
      <c r="Q975" s="340"/>
      <c r="R975" s="340"/>
      <c r="S975" s="348"/>
      <c r="T975" s="348"/>
      <c r="U975" s="348"/>
      <c r="V975" s="340"/>
      <c r="W975" s="340"/>
      <c r="X975" s="340"/>
      <c r="Y975" s="340"/>
    </row>
    <row r="976" spans="1:25" ht="15" thickBot="1" x14ac:dyDescent="0.3">
      <c r="A976" s="325"/>
      <c r="B976" s="325"/>
      <c r="C976" s="325"/>
      <c r="D976" s="325"/>
      <c r="E976" s="325"/>
      <c r="F976" s="325"/>
      <c r="G976" s="325"/>
      <c r="H976" s="325"/>
      <c r="I976" s="325"/>
      <c r="J976" s="325"/>
      <c r="K976" s="339"/>
      <c r="L976" s="340"/>
      <c r="M976" s="340"/>
      <c r="N976" s="340"/>
      <c r="O976" s="340"/>
      <c r="P976" s="340"/>
      <c r="Q976" s="340"/>
      <c r="R976" s="340"/>
      <c r="S976" s="348"/>
      <c r="T976" s="348"/>
      <c r="U976" s="348"/>
      <c r="V976" s="340"/>
      <c r="W976" s="340"/>
      <c r="X976" s="340"/>
      <c r="Y976" s="340"/>
    </row>
    <row r="977" spans="1:25" ht="15" thickBot="1" x14ac:dyDescent="0.3">
      <c r="A977" s="325"/>
      <c r="B977" s="325"/>
      <c r="C977" s="325"/>
      <c r="D977" s="325"/>
      <c r="E977" s="325"/>
      <c r="F977" s="325"/>
      <c r="G977" s="325"/>
      <c r="H977" s="325"/>
      <c r="I977" s="325"/>
      <c r="J977" s="325"/>
      <c r="K977" s="339"/>
      <c r="L977" s="340"/>
      <c r="M977" s="340"/>
      <c r="N977" s="340"/>
      <c r="O977" s="340"/>
      <c r="P977" s="340"/>
      <c r="Q977" s="340"/>
      <c r="R977" s="340"/>
      <c r="S977" s="348"/>
      <c r="T977" s="348"/>
      <c r="U977" s="348"/>
      <c r="V977" s="340"/>
      <c r="W977" s="340"/>
      <c r="X977" s="340"/>
      <c r="Y977" s="340"/>
    </row>
    <row r="978" spans="1:25" ht="15" thickBot="1" x14ac:dyDescent="0.3">
      <c r="A978" s="325"/>
      <c r="B978" s="325"/>
      <c r="C978" s="325"/>
      <c r="D978" s="325"/>
      <c r="E978" s="325"/>
      <c r="F978" s="325"/>
      <c r="G978" s="325"/>
      <c r="H978" s="325"/>
      <c r="I978" s="325"/>
      <c r="J978" s="325"/>
      <c r="K978" s="339"/>
      <c r="L978" s="340"/>
      <c r="M978" s="340"/>
      <c r="N978" s="340"/>
      <c r="O978" s="340"/>
      <c r="P978" s="340"/>
      <c r="Q978" s="340"/>
      <c r="R978" s="340"/>
      <c r="S978" s="348"/>
      <c r="T978" s="348"/>
      <c r="U978" s="348"/>
      <c r="V978" s="340"/>
      <c r="W978" s="340"/>
      <c r="X978" s="340"/>
      <c r="Y978" s="340"/>
    </row>
    <row r="979" spans="1:25" ht="15" thickBot="1" x14ac:dyDescent="0.3">
      <c r="A979" s="325"/>
      <c r="B979" s="325"/>
      <c r="C979" s="325"/>
      <c r="D979" s="325"/>
      <c r="E979" s="325"/>
      <c r="F979" s="325"/>
      <c r="G979" s="325"/>
      <c r="H979" s="325"/>
      <c r="I979" s="325"/>
      <c r="J979" s="325"/>
      <c r="K979" s="339"/>
      <c r="L979" s="340"/>
      <c r="M979" s="340"/>
      <c r="N979" s="340"/>
      <c r="O979" s="340"/>
      <c r="P979" s="340"/>
      <c r="Q979" s="340"/>
      <c r="R979" s="340"/>
      <c r="S979" s="348"/>
      <c r="T979" s="348"/>
      <c r="U979" s="348"/>
      <c r="V979" s="340"/>
      <c r="W979" s="340"/>
      <c r="X979" s="340"/>
      <c r="Y979" s="340"/>
    </row>
    <row r="980" spans="1:25" ht="15" thickBot="1" x14ac:dyDescent="0.3">
      <c r="A980" s="325"/>
      <c r="B980" s="325"/>
      <c r="C980" s="325"/>
      <c r="D980" s="325"/>
      <c r="E980" s="325"/>
      <c r="F980" s="325"/>
      <c r="G980" s="325"/>
      <c r="H980" s="325"/>
      <c r="I980" s="325"/>
      <c r="J980" s="325"/>
      <c r="K980" s="339"/>
      <c r="L980" s="340"/>
      <c r="M980" s="340"/>
      <c r="N980" s="340"/>
      <c r="O980" s="340"/>
      <c r="P980" s="340"/>
      <c r="Q980" s="340"/>
      <c r="R980" s="340"/>
      <c r="S980" s="348"/>
      <c r="T980" s="348"/>
      <c r="U980" s="348"/>
      <c r="V980" s="340"/>
      <c r="W980" s="340"/>
      <c r="X980" s="340"/>
      <c r="Y980" s="340"/>
    </row>
    <row r="981" spans="1:25" ht="15" thickBot="1" x14ac:dyDescent="0.3">
      <c r="A981" s="325"/>
      <c r="B981" s="325"/>
      <c r="C981" s="325"/>
      <c r="D981" s="325"/>
      <c r="E981" s="325"/>
      <c r="F981" s="325"/>
      <c r="G981" s="325"/>
      <c r="H981" s="325"/>
      <c r="I981" s="325"/>
      <c r="J981" s="325"/>
      <c r="K981" s="339"/>
      <c r="L981" s="340"/>
      <c r="M981" s="340"/>
      <c r="N981" s="340"/>
      <c r="O981" s="340"/>
      <c r="P981" s="340"/>
      <c r="Q981" s="340"/>
      <c r="R981" s="340"/>
      <c r="S981" s="348"/>
      <c r="T981" s="348"/>
      <c r="U981" s="348"/>
      <c r="V981" s="340"/>
      <c r="W981" s="340"/>
      <c r="X981" s="340"/>
      <c r="Y981" s="340"/>
    </row>
    <row r="982" spans="1:25" ht="15" thickBot="1" x14ac:dyDescent="0.3">
      <c r="A982" s="325"/>
      <c r="B982" s="325"/>
      <c r="C982" s="325"/>
      <c r="D982" s="325"/>
      <c r="E982" s="325"/>
      <c r="F982" s="325"/>
      <c r="G982" s="325"/>
      <c r="H982" s="325"/>
      <c r="I982" s="325"/>
      <c r="J982" s="325"/>
      <c r="K982" s="339"/>
      <c r="L982" s="340"/>
      <c r="M982" s="340"/>
      <c r="N982" s="340"/>
      <c r="O982" s="340"/>
      <c r="P982" s="340"/>
      <c r="Q982" s="340"/>
      <c r="R982" s="340"/>
      <c r="S982" s="348"/>
      <c r="T982" s="348"/>
      <c r="U982" s="348"/>
      <c r="V982" s="340"/>
      <c r="W982" s="340"/>
      <c r="X982" s="340"/>
      <c r="Y982" s="340"/>
    </row>
    <row r="983" spans="1:25" ht="15" thickBot="1" x14ac:dyDescent="0.3">
      <c r="A983" s="325"/>
      <c r="B983" s="325"/>
      <c r="C983" s="325"/>
      <c r="D983" s="325"/>
      <c r="E983" s="325"/>
      <c r="F983" s="325"/>
      <c r="G983" s="325"/>
      <c r="H983" s="325"/>
      <c r="I983" s="325"/>
      <c r="J983" s="325"/>
      <c r="K983" s="339"/>
      <c r="L983" s="340"/>
      <c r="M983" s="340"/>
      <c r="N983" s="340"/>
      <c r="O983" s="340"/>
      <c r="P983" s="340"/>
      <c r="Q983" s="340"/>
      <c r="R983" s="340"/>
      <c r="S983" s="348"/>
      <c r="T983" s="348"/>
      <c r="U983" s="348"/>
      <c r="V983" s="340"/>
      <c r="W983" s="340"/>
      <c r="X983" s="340"/>
      <c r="Y983" s="340"/>
    </row>
    <row r="984" spans="1:25" ht="15" thickBot="1" x14ac:dyDescent="0.3">
      <c r="A984" s="325"/>
      <c r="B984" s="325"/>
      <c r="C984" s="325"/>
      <c r="D984" s="325"/>
      <c r="E984" s="325"/>
      <c r="F984" s="325"/>
      <c r="G984" s="325"/>
      <c r="H984" s="325"/>
      <c r="I984" s="325"/>
      <c r="J984" s="325"/>
      <c r="K984" s="339"/>
      <c r="L984" s="340"/>
      <c r="M984" s="340"/>
      <c r="N984" s="340"/>
      <c r="O984" s="340"/>
      <c r="P984" s="340"/>
      <c r="Q984" s="340"/>
      <c r="R984" s="340"/>
      <c r="S984" s="348"/>
      <c r="T984" s="348"/>
      <c r="U984" s="348"/>
      <c r="V984" s="340"/>
      <c r="W984" s="340"/>
      <c r="X984" s="340"/>
      <c r="Y984" s="340"/>
    </row>
    <row r="985" spans="1:25" ht="15" thickBot="1" x14ac:dyDescent="0.3">
      <c r="A985" s="325"/>
      <c r="B985" s="325"/>
      <c r="C985" s="325"/>
      <c r="D985" s="325"/>
      <c r="E985" s="325"/>
      <c r="F985" s="325"/>
      <c r="G985" s="325"/>
      <c r="H985" s="325"/>
      <c r="I985" s="325"/>
      <c r="J985" s="325"/>
      <c r="K985" s="339"/>
      <c r="L985" s="340"/>
      <c r="M985" s="340"/>
      <c r="N985" s="340"/>
      <c r="O985" s="340"/>
      <c r="P985" s="340"/>
      <c r="Q985" s="340"/>
      <c r="R985" s="340"/>
      <c r="S985" s="348"/>
      <c r="T985" s="348"/>
      <c r="U985" s="348"/>
      <c r="V985" s="340"/>
      <c r="W985" s="340"/>
      <c r="X985" s="340"/>
      <c r="Y985" s="340"/>
    </row>
    <row r="986" spans="1:25" ht="15" thickBot="1" x14ac:dyDescent="0.3">
      <c r="A986" s="325"/>
      <c r="B986" s="325"/>
      <c r="C986" s="325"/>
      <c r="D986" s="325"/>
      <c r="E986" s="325"/>
      <c r="F986" s="325"/>
      <c r="G986" s="325"/>
      <c r="H986" s="325"/>
      <c r="I986" s="325"/>
      <c r="J986" s="325"/>
      <c r="K986" s="339"/>
      <c r="L986" s="340"/>
      <c r="M986" s="340"/>
      <c r="N986" s="340"/>
      <c r="O986" s="340"/>
      <c r="P986" s="340"/>
      <c r="Q986" s="340"/>
      <c r="R986" s="340"/>
      <c r="S986" s="348"/>
      <c r="T986" s="348"/>
      <c r="U986" s="348"/>
      <c r="V986" s="340"/>
      <c r="W986" s="340"/>
      <c r="X986" s="340"/>
      <c r="Y986" s="340"/>
    </row>
    <row r="987" spans="1:25" ht="15" thickBot="1" x14ac:dyDescent="0.3">
      <c r="A987" s="325"/>
      <c r="B987" s="325"/>
      <c r="C987" s="325"/>
      <c r="D987" s="325"/>
      <c r="E987" s="325"/>
      <c r="F987" s="325"/>
      <c r="G987" s="325"/>
      <c r="H987" s="325"/>
      <c r="I987" s="325"/>
      <c r="J987" s="325"/>
      <c r="K987" s="339"/>
      <c r="L987" s="340"/>
      <c r="M987" s="340"/>
      <c r="N987" s="340"/>
      <c r="O987" s="340"/>
      <c r="P987" s="340"/>
      <c r="Q987" s="340"/>
      <c r="R987" s="340"/>
      <c r="S987" s="348"/>
      <c r="T987" s="348"/>
      <c r="U987" s="348"/>
      <c r="V987" s="340"/>
      <c r="W987" s="340"/>
      <c r="X987" s="340"/>
      <c r="Y987" s="340"/>
    </row>
    <row r="988" spans="1:25" ht="15" thickBot="1" x14ac:dyDescent="0.3">
      <c r="A988" s="325"/>
      <c r="B988" s="325"/>
      <c r="C988" s="325"/>
      <c r="D988" s="325"/>
      <c r="E988" s="325"/>
      <c r="F988" s="325"/>
      <c r="G988" s="325"/>
      <c r="H988" s="325"/>
      <c r="I988" s="325"/>
      <c r="J988" s="325"/>
      <c r="K988" s="339"/>
      <c r="L988" s="340"/>
      <c r="M988" s="340"/>
      <c r="N988" s="340"/>
      <c r="O988" s="340"/>
      <c r="P988" s="340"/>
      <c r="Q988" s="340"/>
      <c r="R988" s="340"/>
      <c r="S988" s="348"/>
      <c r="T988" s="348"/>
      <c r="U988" s="348"/>
      <c r="V988" s="340"/>
      <c r="W988" s="340"/>
      <c r="X988" s="340"/>
      <c r="Y988" s="340"/>
    </row>
    <row r="989" spans="1:25" ht="15" thickBot="1" x14ac:dyDescent="0.3">
      <c r="A989" s="325"/>
      <c r="B989" s="325"/>
      <c r="C989" s="325"/>
      <c r="D989" s="325"/>
      <c r="E989" s="325"/>
      <c r="F989" s="325"/>
      <c r="G989" s="325"/>
      <c r="H989" s="325"/>
      <c r="I989" s="325"/>
      <c r="J989" s="325"/>
      <c r="K989" s="339"/>
      <c r="L989" s="340"/>
      <c r="M989" s="340"/>
      <c r="N989" s="340"/>
      <c r="O989" s="340"/>
      <c r="P989" s="340"/>
      <c r="Q989" s="340"/>
      <c r="R989" s="340"/>
      <c r="S989" s="348"/>
      <c r="T989" s="348"/>
      <c r="U989" s="348"/>
      <c r="V989" s="340"/>
      <c r="W989" s="340"/>
      <c r="X989" s="340"/>
      <c r="Y989" s="340"/>
    </row>
    <row r="990" spans="1:25" ht="15" thickBot="1" x14ac:dyDescent="0.3">
      <c r="A990" s="325"/>
      <c r="B990" s="325"/>
      <c r="C990" s="325"/>
      <c r="D990" s="325"/>
      <c r="E990" s="325"/>
      <c r="F990" s="325"/>
      <c r="G990" s="325"/>
      <c r="H990" s="325"/>
      <c r="I990" s="325"/>
      <c r="J990" s="325"/>
      <c r="K990" s="339"/>
      <c r="L990" s="340"/>
      <c r="M990" s="340"/>
      <c r="N990" s="340"/>
      <c r="O990" s="340"/>
      <c r="P990" s="340"/>
      <c r="Q990" s="340"/>
      <c r="R990" s="340"/>
      <c r="S990" s="348"/>
      <c r="T990" s="348"/>
      <c r="U990" s="348"/>
      <c r="V990" s="340"/>
      <c r="W990" s="340"/>
      <c r="X990" s="340"/>
      <c r="Y990" s="340"/>
    </row>
    <row r="991" spans="1:25" ht="15" thickBot="1" x14ac:dyDescent="0.3">
      <c r="A991" s="325"/>
      <c r="B991" s="325"/>
      <c r="C991" s="325"/>
      <c r="D991" s="325"/>
      <c r="E991" s="325"/>
      <c r="F991" s="325"/>
      <c r="G991" s="325"/>
      <c r="H991" s="325"/>
      <c r="I991" s="325"/>
      <c r="J991" s="325"/>
      <c r="K991" s="339"/>
      <c r="L991" s="340"/>
      <c r="M991" s="340"/>
      <c r="N991" s="340"/>
      <c r="O991" s="340"/>
      <c r="P991" s="340"/>
      <c r="Q991" s="340"/>
      <c r="R991" s="340"/>
      <c r="S991" s="348"/>
      <c r="T991" s="348"/>
      <c r="U991" s="348"/>
      <c r="V991" s="340"/>
      <c r="W991" s="340"/>
      <c r="X991" s="340"/>
      <c r="Y991" s="340"/>
    </row>
    <row r="992" spans="1:25" ht="15" thickBot="1" x14ac:dyDescent="0.3">
      <c r="A992" s="325"/>
      <c r="B992" s="325"/>
      <c r="C992" s="325"/>
      <c r="D992" s="325"/>
      <c r="E992" s="325"/>
      <c r="F992" s="325"/>
      <c r="G992" s="325"/>
      <c r="H992" s="325"/>
      <c r="I992" s="325"/>
      <c r="J992" s="325"/>
      <c r="K992" s="339"/>
      <c r="L992" s="340"/>
      <c r="M992" s="340"/>
      <c r="N992" s="340"/>
      <c r="O992" s="340"/>
      <c r="P992" s="340"/>
      <c r="Q992" s="340"/>
      <c r="R992" s="340"/>
      <c r="S992" s="348"/>
      <c r="T992" s="348"/>
      <c r="U992" s="348"/>
      <c r="V992" s="340"/>
      <c r="W992" s="340"/>
      <c r="X992" s="340"/>
      <c r="Y992" s="340"/>
    </row>
    <row r="993" spans="1:25" ht="15" thickBot="1" x14ac:dyDescent="0.3">
      <c r="A993" s="325"/>
      <c r="B993" s="325"/>
      <c r="C993" s="325"/>
      <c r="D993" s="325"/>
      <c r="E993" s="325"/>
      <c r="F993" s="325"/>
      <c r="G993" s="325"/>
      <c r="H993" s="325"/>
      <c r="I993" s="325"/>
      <c r="J993" s="325"/>
      <c r="K993" s="339"/>
      <c r="L993" s="340"/>
      <c r="M993" s="340"/>
      <c r="N993" s="340"/>
      <c r="O993" s="340"/>
      <c r="P993" s="340"/>
      <c r="Q993" s="340"/>
      <c r="R993" s="340"/>
      <c r="S993" s="348"/>
      <c r="T993" s="348"/>
      <c r="U993" s="348"/>
      <c r="V993" s="340"/>
      <c r="W993" s="340"/>
      <c r="X993" s="340"/>
      <c r="Y993" s="340"/>
    </row>
    <row r="994" spans="1:25" ht="15" thickBot="1" x14ac:dyDescent="0.3">
      <c r="A994" s="325"/>
      <c r="B994" s="325"/>
      <c r="C994" s="325"/>
      <c r="D994" s="325"/>
      <c r="E994" s="325"/>
      <c r="F994" s="325"/>
      <c r="G994" s="325"/>
      <c r="H994" s="325"/>
      <c r="I994" s="325"/>
      <c r="J994" s="325"/>
      <c r="K994" s="339"/>
      <c r="L994" s="340"/>
      <c r="M994" s="340"/>
      <c r="N994" s="340"/>
      <c r="O994" s="340"/>
      <c r="P994" s="340"/>
      <c r="Q994" s="340"/>
      <c r="R994" s="340"/>
      <c r="S994" s="348"/>
      <c r="T994" s="348"/>
      <c r="U994" s="348"/>
      <c r="V994" s="340"/>
      <c r="W994" s="340"/>
      <c r="X994" s="340"/>
      <c r="Y994" s="340"/>
    </row>
    <row r="995" spans="1:25" ht="15" thickBot="1" x14ac:dyDescent="0.3">
      <c r="A995" s="325"/>
      <c r="B995" s="325"/>
      <c r="C995" s="325"/>
      <c r="D995" s="325"/>
      <c r="E995" s="325"/>
      <c r="F995" s="325"/>
      <c r="G995" s="325"/>
      <c r="H995" s="325"/>
      <c r="I995" s="325"/>
      <c r="J995" s="325"/>
      <c r="K995" s="339"/>
      <c r="L995" s="340"/>
      <c r="M995" s="340"/>
      <c r="N995" s="340"/>
      <c r="O995" s="340"/>
      <c r="P995" s="340"/>
      <c r="Q995" s="340"/>
      <c r="R995" s="340"/>
      <c r="S995" s="348"/>
      <c r="T995" s="348"/>
      <c r="U995" s="348"/>
      <c r="V995" s="340"/>
      <c r="W995" s="340"/>
      <c r="X995" s="340"/>
      <c r="Y995" s="340"/>
    </row>
    <row r="996" spans="1:25" ht="15" thickBot="1" x14ac:dyDescent="0.3">
      <c r="A996" s="325"/>
      <c r="B996" s="325"/>
      <c r="C996" s="325"/>
      <c r="D996" s="325"/>
      <c r="E996" s="325"/>
      <c r="F996" s="325"/>
      <c r="G996" s="325"/>
      <c r="H996" s="325"/>
      <c r="I996" s="325"/>
      <c r="J996" s="325"/>
      <c r="K996" s="339"/>
      <c r="L996" s="340"/>
      <c r="M996" s="340"/>
      <c r="N996" s="340"/>
      <c r="O996" s="340"/>
      <c r="P996" s="340"/>
      <c r="Q996" s="340"/>
      <c r="R996" s="340"/>
      <c r="S996" s="348"/>
      <c r="T996" s="348"/>
      <c r="U996" s="348"/>
      <c r="V996" s="340"/>
      <c r="W996" s="340"/>
      <c r="X996" s="340"/>
      <c r="Y996" s="340"/>
    </row>
    <row r="997" spans="1:25" ht="15" thickBot="1" x14ac:dyDescent="0.3">
      <c r="A997" s="325"/>
      <c r="B997" s="325"/>
      <c r="C997" s="325"/>
      <c r="D997" s="325"/>
      <c r="E997" s="325"/>
      <c r="F997" s="325"/>
      <c r="G997" s="325"/>
      <c r="H997" s="325"/>
      <c r="I997" s="325"/>
      <c r="J997" s="325"/>
      <c r="K997" s="339"/>
      <c r="L997" s="340"/>
      <c r="M997" s="340"/>
      <c r="N997" s="340"/>
      <c r="O997" s="340"/>
      <c r="P997" s="340"/>
      <c r="Q997" s="340"/>
      <c r="R997" s="340"/>
      <c r="S997" s="348"/>
      <c r="T997" s="348"/>
      <c r="U997" s="348"/>
      <c r="V997" s="340"/>
      <c r="W997" s="340"/>
      <c r="X997" s="340"/>
      <c r="Y997" s="340"/>
    </row>
    <row r="998" spans="1:25" ht="15" thickBot="1" x14ac:dyDescent="0.3">
      <c r="A998" s="325"/>
      <c r="B998" s="325"/>
      <c r="C998" s="325"/>
      <c r="D998" s="325"/>
      <c r="E998" s="325"/>
      <c r="F998" s="325"/>
      <c r="G998" s="325"/>
      <c r="H998" s="325"/>
      <c r="I998" s="325"/>
      <c r="J998" s="325"/>
      <c r="K998" s="339"/>
      <c r="L998" s="340"/>
      <c r="M998" s="340"/>
      <c r="N998" s="340"/>
      <c r="O998" s="340"/>
      <c r="P998" s="340"/>
      <c r="Q998" s="340"/>
      <c r="R998" s="340"/>
      <c r="S998" s="348"/>
      <c r="T998" s="348"/>
      <c r="U998" s="348"/>
      <c r="V998" s="340"/>
      <c r="W998" s="340"/>
      <c r="X998" s="340"/>
      <c r="Y998" s="340"/>
    </row>
    <row r="999" spans="1:25" ht="15" thickBot="1" x14ac:dyDescent="0.3">
      <c r="A999" s="325"/>
      <c r="B999" s="325"/>
      <c r="C999" s="325"/>
      <c r="D999" s="325"/>
      <c r="E999" s="325"/>
      <c r="F999" s="325"/>
      <c r="G999" s="325"/>
      <c r="H999" s="325"/>
      <c r="I999" s="325"/>
      <c r="J999" s="325"/>
      <c r="K999" s="339"/>
      <c r="L999" s="340"/>
      <c r="M999" s="340"/>
      <c r="N999" s="340"/>
      <c r="O999" s="340"/>
      <c r="P999" s="340"/>
      <c r="Q999" s="340"/>
      <c r="R999" s="340"/>
      <c r="S999" s="348"/>
      <c r="T999" s="348"/>
      <c r="U999" s="348"/>
      <c r="V999" s="340"/>
      <c r="W999" s="340"/>
      <c r="X999" s="340"/>
      <c r="Y999" s="340"/>
    </row>
    <row r="1000" spans="1:25" ht="15" thickBot="1" x14ac:dyDescent="0.3">
      <c r="A1000" s="325"/>
      <c r="B1000" s="325"/>
      <c r="C1000" s="325"/>
      <c r="D1000" s="325"/>
      <c r="E1000" s="325"/>
      <c r="F1000" s="325"/>
      <c r="G1000" s="325"/>
      <c r="H1000" s="325"/>
      <c r="I1000" s="325"/>
      <c r="J1000" s="325"/>
      <c r="K1000" s="339"/>
      <c r="L1000" s="340"/>
      <c r="M1000" s="340"/>
      <c r="N1000" s="340"/>
      <c r="O1000" s="340"/>
      <c r="P1000" s="340"/>
      <c r="Q1000" s="340"/>
      <c r="R1000" s="340"/>
      <c r="S1000" s="348"/>
      <c r="T1000" s="348"/>
      <c r="U1000" s="348"/>
      <c r="V1000" s="340"/>
      <c r="W1000" s="340"/>
      <c r="X1000" s="340"/>
      <c r="Y1000" s="340"/>
    </row>
  </sheetData>
  <mergeCells count="14">
    <mergeCell ref="A35:A36"/>
    <mergeCell ref="B35:D35"/>
    <mergeCell ref="E35:G35"/>
    <mergeCell ref="H35:J35"/>
    <mergeCell ref="A49:J49"/>
    <mergeCell ref="A20:A21"/>
    <mergeCell ref="B20:D20"/>
    <mergeCell ref="E20:G20"/>
    <mergeCell ref="H20:J20"/>
    <mergeCell ref="A2:G2"/>
    <mergeCell ref="A5:A6"/>
    <mergeCell ref="B5:D5"/>
    <mergeCell ref="E5:G5"/>
    <mergeCell ref="H5:J5"/>
  </mergeCells>
  <phoneticPr fontId="2"/>
  <hyperlinks>
    <hyperlink ref="F3" r:id="rId1" display="https://www.jil.go.jp/kokunai/statistics/timeseries/html/g0405.htm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1" tint="0.34998626667073579"/>
  </sheetPr>
  <dimension ref="B1:AT138"/>
  <sheetViews>
    <sheetView zoomScale="70" zoomScaleNormal="70" workbookViewId="0">
      <selection activeCell="J55" sqref="J55"/>
    </sheetView>
  </sheetViews>
  <sheetFormatPr defaultRowHeight="14.25" x14ac:dyDescent="0.25"/>
  <cols>
    <col min="26" max="29" width="9" style="121"/>
  </cols>
  <sheetData>
    <row r="1" spans="2:46" x14ac:dyDescent="0.25">
      <c r="D1">
        <v>2</v>
      </c>
      <c r="E1">
        <f t="shared" ref="E1:S1" si="0">D1+1</f>
        <v>3</v>
      </c>
      <c r="F1">
        <f t="shared" si="0"/>
        <v>4</v>
      </c>
      <c r="G1">
        <f t="shared" si="0"/>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row>
    <row r="3" spans="2:46" x14ac:dyDescent="0.25">
      <c r="D3" s="134" t="s">
        <v>248</v>
      </c>
      <c r="E3" s="135"/>
      <c r="F3" s="135"/>
      <c r="G3" s="135"/>
      <c r="H3" s="134" t="s">
        <v>249</v>
      </c>
      <c r="I3" s="135"/>
      <c r="J3" s="135"/>
      <c r="K3" s="135"/>
      <c r="L3" s="134" t="s">
        <v>430</v>
      </c>
      <c r="M3" s="135"/>
      <c r="N3" s="135"/>
      <c r="O3" s="135"/>
      <c r="P3" s="134" t="s">
        <v>429</v>
      </c>
      <c r="Q3" s="135"/>
      <c r="R3" s="135"/>
      <c r="S3" s="136"/>
      <c r="V3" s="94" t="s">
        <v>62</v>
      </c>
      <c r="AD3" s="1"/>
      <c r="AE3" s="1"/>
      <c r="AF3" s="1"/>
      <c r="AN3" s="134" t="s">
        <v>1</v>
      </c>
      <c r="AO3" s="134" t="s">
        <v>1</v>
      </c>
      <c r="AP3" s="134" t="s">
        <v>1</v>
      </c>
      <c r="AQ3" s="135" t="s">
        <v>1</v>
      </c>
      <c r="AR3" s="281"/>
    </row>
    <row r="4" spans="2:46" x14ac:dyDescent="0.25">
      <c r="B4" s="86" t="s">
        <v>117</v>
      </c>
      <c r="C4" s="86" t="s">
        <v>0</v>
      </c>
      <c r="D4" s="88" t="s">
        <v>169</v>
      </c>
      <c r="E4" s="88" t="s">
        <v>168</v>
      </c>
      <c r="F4" s="88" t="s">
        <v>171</v>
      </c>
      <c r="G4" s="88" t="s">
        <v>443</v>
      </c>
      <c r="H4" s="88" t="s">
        <v>169</v>
      </c>
      <c r="I4" s="88" t="s">
        <v>168</v>
      </c>
      <c r="J4" s="88" t="s">
        <v>171</v>
      </c>
      <c r="K4" s="88" t="s">
        <v>443</v>
      </c>
      <c r="L4" s="88" t="s">
        <v>169</v>
      </c>
      <c r="M4" s="88" t="s">
        <v>168</v>
      </c>
      <c r="N4" s="88" t="s">
        <v>171</v>
      </c>
      <c r="O4" s="88" t="s">
        <v>443</v>
      </c>
      <c r="P4" s="88" t="s">
        <v>169</v>
      </c>
      <c r="Q4" s="88" t="s">
        <v>168</v>
      </c>
      <c r="R4" s="88" t="s">
        <v>171</v>
      </c>
      <c r="S4" s="88" t="s">
        <v>443</v>
      </c>
      <c r="V4" s="105" t="s">
        <v>1</v>
      </c>
      <c r="W4" s="105" t="s">
        <v>2</v>
      </c>
      <c r="X4" s="105" t="s">
        <v>3</v>
      </c>
      <c r="Y4" s="105" t="s">
        <v>4</v>
      </c>
      <c r="Z4" s="105" t="s">
        <v>1</v>
      </c>
      <c r="AA4" s="105" t="s">
        <v>2</v>
      </c>
      <c r="AB4" s="105" t="s">
        <v>3</v>
      </c>
      <c r="AC4" s="105" t="s">
        <v>4</v>
      </c>
      <c r="AD4" s="105" t="s">
        <v>56</v>
      </c>
      <c r="AE4" s="105" t="s">
        <v>55</v>
      </c>
      <c r="AF4" s="105" t="s">
        <v>419</v>
      </c>
    </row>
    <row r="5" spans="2:46" x14ac:dyDescent="0.25">
      <c r="B5" s="92" t="s">
        <v>58</v>
      </c>
      <c r="C5" s="92">
        <v>0</v>
      </c>
      <c r="D5" s="92">
        <f>入力!$P$14*12</f>
        <v>0</v>
      </c>
      <c r="E5" s="92">
        <f>入力!$P$15*12</f>
        <v>0</v>
      </c>
      <c r="F5" s="95">
        <f>V5</f>
        <v>36</v>
      </c>
      <c r="G5" s="95"/>
      <c r="H5" s="92">
        <f>入力!$Q$14*12</f>
        <v>0</v>
      </c>
      <c r="I5" s="92">
        <f>入力!$Q$15*12</f>
        <v>0</v>
      </c>
      <c r="J5" s="95">
        <f>W5</f>
        <v>18</v>
      </c>
      <c r="K5" s="95"/>
      <c r="L5" s="92">
        <f>入力!$R$14*12</f>
        <v>0</v>
      </c>
      <c r="M5" s="92">
        <f>入力!$R$15*12</f>
        <v>0</v>
      </c>
      <c r="N5" s="95">
        <f>X5</f>
        <v>0</v>
      </c>
      <c r="O5" s="95"/>
      <c r="P5" s="92">
        <f>入力!$S$14*12</f>
        <v>0</v>
      </c>
      <c r="Q5" s="92">
        <f>入力!$S$15*12</f>
        <v>0</v>
      </c>
      <c r="R5" s="95">
        <f>Y5</f>
        <v>0</v>
      </c>
      <c r="S5" s="95"/>
      <c r="V5" s="95">
        <f>IF(Z5="行かない",0,VLOOKUP(AR5,$V$39:$Z$59,5,1))</f>
        <v>36</v>
      </c>
      <c r="W5" s="95">
        <f>IF(AA5="行かない",0,VLOOKUP(AS5,$V$39:$Z$59,5,1))/2</f>
        <v>18</v>
      </c>
      <c r="X5" s="95">
        <f t="shared" ref="X5:Y5" si="1">IF(AB5="行かない",0,VLOOKUP(AT5,$V$39:$Z$59,5,1))/2</f>
        <v>0</v>
      </c>
      <c r="Y5" s="95">
        <f t="shared" si="1"/>
        <v>0</v>
      </c>
      <c r="Z5" s="124" t="str">
        <f>入力!P13</f>
        <v>公立</v>
      </c>
      <c r="AA5" s="124" t="str">
        <f>入力!Q13</f>
        <v>公立</v>
      </c>
      <c r="AB5" s="124" t="str">
        <f>入力!R13</f>
        <v>公立</v>
      </c>
      <c r="AC5" s="124" t="str">
        <f>入力!S13</f>
        <v>公立</v>
      </c>
      <c r="AD5" s="95"/>
      <c r="AE5" s="95"/>
      <c r="AF5" s="95"/>
      <c r="AG5" t="s">
        <v>422</v>
      </c>
      <c r="AN5">
        <f>IFERROR(MATCH($C5,子1!$C:$C,0),1)</f>
        <v>10</v>
      </c>
      <c r="AO5">
        <f>IFERROR(MATCH($C5,子2!$C:$C,0),1)</f>
        <v>13</v>
      </c>
      <c r="AP5">
        <f>IFERROR(MATCH($C5,子3!$C:$C,0),1)</f>
        <v>1</v>
      </c>
      <c r="AQ5">
        <f>IFERROR(MATCH($C5,子4!$C:$C,0),1)</f>
        <v>1</v>
      </c>
      <c r="AR5" s="1">
        <f>INDEX(親1!$D:$D,学費計算!AN5)</f>
        <v>416.87028989760228</v>
      </c>
      <c r="AS5" s="1">
        <f>INDEX(親1!$D:$D,学費計算!AO5)</f>
        <v>452.62893912920146</v>
      </c>
      <c r="AT5" s="1">
        <f>INDEX(親1!$D:$D,学費計算!AP5)</f>
        <v>0</v>
      </c>
    </row>
    <row r="6" spans="2:46" x14ac:dyDescent="0.25">
      <c r="B6" s="190"/>
      <c r="C6" s="190">
        <f t="shared" ref="C6:C28" si="2">C5+1</f>
        <v>1</v>
      </c>
      <c r="D6" s="190">
        <f>入力!$P$14*12</f>
        <v>0</v>
      </c>
      <c r="E6" s="190">
        <f>入力!$P$15*12</f>
        <v>0</v>
      </c>
      <c r="F6" s="206">
        <f t="shared" ref="F6" si="3">V6</f>
        <v>36</v>
      </c>
      <c r="G6" s="206"/>
      <c r="H6" s="190">
        <f>入力!$Q$14*12</f>
        <v>0</v>
      </c>
      <c r="I6" s="190">
        <f>入力!$Q$15*12</f>
        <v>0</v>
      </c>
      <c r="J6" s="206">
        <f t="shared" ref="J6:J28" si="4">W6</f>
        <v>21</v>
      </c>
      <c r="K6" s="206"/>
      <c r="L6" s="190">
        <f>入力!$R$14*12</f>
        <v>0</v>
      </c>
      <c r="M6" s="190">
        <f>入力!$R$15*12</f>
        <v>0</v>
      </c>
      <c r="N6" s="206">
        <f t="shared" ref="N6:N28" si="5">X6</f>
        <v>0</v>
      </c>
      <c r="O6" s="206"/>
      <c r="P6" s="190">
        <f>入力!$S$14*12</f>
        <v>0</v>
      </c>
      <c r="Q6" s="190">
        <f>入力!$S$15*12</f>
        <v>0</v>
      </c>
      <c r="R6" s="206">
        <f t="shared" ref="R6:R28" si="6">Y6</f>
        <v>0</v>
      </c>
      <c r="S6" s="206"/>
      <c r="T6" s="141"/>
      <c r="U6" s="141"/>
      <c r="V6" s="206">
        <f t="shared" ref="V6:V7" si="7">IF(Z6="行かない",0,VLOOKUP(AR6,$V$39:$Z$59,5,1))</f>
        <v>36</v>
      </c>
      <c r="W6" s="206">
        <f t="shared" ref="W6:W7" si="8">IF(AA6="行かない",0,VLOOKUP(AS6,$V$39:$Z$59,5,1))/2</f>
        <v>21</v>
      </c>
      <c r="X6" s="206">
        <f t="shared" ref="X6:X7" si="9">IF(AB6="行かない",0,VLOOKUP(AT6,$V$39:$Z$59,5,1))/2</f>
        <v>0</v>
      </c>
      <c r="Y6" s="206">
        <f t="shared" ref="Y6:Y7" si="10">IF(AC6="行かない",0,VLOOKUP(AU6,$V$39:$Z$59,5,1))/2</f>
        <v>0</v>
      </c>
      <c r="Z6" s="207" t="str">
        <f>Z5</f>
        <v>公立</v>
      </c>
      <c r="AA6" s="207" t="str">
        <f t="shared" ref="AA6:AA7" si="11">AA5</f>
        <v>公立</v>
      </c>
      <c r="AB6" s="207" t="str">
        <f t="shared" ref="AB6:AB7" si="12">AB5</f>
        <v>公立</v>
      </c>
      <c r="AC6" s="207" t="str">
        <f t="shared" ref="AC6:AC7" si="13">AC5</f>
        <v>公立</v>
      </c>
      <c r="AD6" s="206"/>
      <c r="AE6" s="206"/>
      <c r="AF6" s="206"/>
      <c r="AG6" t="s">
        <v>422</v>
      </c>
      <c r="AN6">
        <f>IFERROR(MATCH($C6,子1!$C:$C,0),1)</f>
        <v>11</v>
      </c>
      <c r="AO6">
        <f>IFERROR(MATCH($C6,子2!$C:$C,0),1)</f>
        <v>14</v>
      </c>
      <c r="AP6">
        <f>IFERROR(MATCH($C6,子3!$C:$C,0),1)</f>
        <v>1</v>
      </c>
      <c r="AQ6">
        <f>IFERROR(MATCH($C6,子4!$C:$C,0),1)</f>
        <v>1</v>
      </c>
      <c r="AR6" s="1">
        <f>INDEX(親1!$D:$D,学費計算!AN6)</f>
        <v>429.13837709193047</v>
      </c>
      <c r="AS6" s="1">
        <f>INDEX(親1!$D:$D,学費計算!AO6)</f>
        <v>463.75741885756111</v>
      </c>
      <c r="AT6" s="1">
        <f>INDEX(親1!$D:$D,学費計算!AP6)</f>
        <v>0</v>
      </c>
    </row>
    <row r="7" spans="2:46" x14ac:dyDescent="0.25">
      <c r="B7" s="208"/>
      <c r="C7" s="208">
        <f t="shared" si="2"/>
        <v>2</v>
      </c>
      <c r="D7" s="208">
        <f>入力!$P$14*12</f>
        <v>0</v>
      </c>
      <c r="E7" s="208">
        <f>入力!$P$15*12</f>
        <v>0</v>
      </c>
      <c r="F7" s="209">
        <f>V7</f>
        <v>36</v>
      </c>
      <c r="G7" s="209"/>
      <c r="H7" s="208">
        <f>入力!$Q$14*12</f>
        <v>0</v>
      </c>
      <c r="I7" s="208">
        <f>入力!$Q$15*12</f>
        <v>0</v>
      </c>
      <c r="J7" s="209">
        <f t="shared" si="4"/>
        <v>21</v>
      </c>
      <c r="K7" s="209"/>
      <c r="L7" s="208">
        <f>入力!$R$14*12</f>
        <v>0</v>
      </c>
      <c r="M7" s="208">
        <f>入力!$R$15*12</f>
        <v>0</v>
      </c>
      <c r="N7" s="209">
        <f t="shared" si="5"/>
        <v>0</v>
      </c>
      <c r="O7" s="209"/>
      <c r="P7" s="208">
        <f>入力!$S$14*12</f>
        <v>0</v>
      </c>
      <c r="Q7" s="208">
        <f>入力!$S$15*12</f>
        <v>0</v>
      </c>
      <c r="R7" s="209">
        <f t="shared" si="6"/>
        <v>0</v>
      </c>
      <c r="S7" s="209"/>
      <c r="T7" s="141"/>
      <c r="U7" s="141"/>
      <c r="V7" s="96">
        <f t="shared" si="7"/>
        <v>36</v>
      </c>
      <c r="W7" s="96">
        <f t="shared" si="8"/>
        <v>21</v>
      </c>
      <c r="X7" s="96">
        <f t="shared" si="9"/>
        <v>0</v>
      </c>
      <c r="Y7" s="96">
        <f t="shared" si="10"/>
        <v>0</v>
      </c>
      <c r="Z7" s="125" t="str">
        <f t="shared" ref="Z7" si="14">Z6</f>
        <v>公立</v>
      </c>
      <c r="AA7" s="125" t="str">
        <f t="shared" si="11"/>
        <v>公立</v>
      </c>
      <c r="AB7" s="125" t="str">
        <f t="shared" si="12"/>
        <v>公立</v>
      </c>
      <c r="AC7" s="125" t="str">
        <f t="shared" si="13"/>
        <v>公立</v>
      </c>
      <c r="AD7" s="96"/>
      <c r="AE7" s="96"/>
      <c r="AF7" s="96"/>
      <c r="AG7" t="s">
        <v>422</v>
      </c>
      <c r="AN7">
        <f>IFERROR(MATCH($C7,子1!$C:$C,0),1)</f>
        <v>12</v>
      </c>
      <c r="AO7">
        <f>IFERROR(MATCH($C7,子2!$C:$C,0),1)</f>
        <v>15</v>
      </c>
      <c r="AP7">
        <f>IFERROR(MATCH($C7,子3!$C:$C,0),1)</f>
        <v>1</v>
      </c>
      <c r="AQ7">
        <f>IFERROR(MATCH($C7,子4!$C:$C,0),1)</f>
        <v>1</v>
      </c>
      <c r="AR7" s="1">
        <f>INDEX(親1!$D:$D,学費計算!AN7)</f>
        <v>441.76750216076061</v>
      </c>
      <c r="AS7" s="1">
        <f>INDEX(親1!$D:$D,学費計算!AO7)</f>
        <v>475.1595069444644</v>
      </c>
      <c r="AT7" s="1">
        <f>INDEX(親1!$D:$D,学費計算!AP7)</f>
        <v>0</v>
      </c>
    </row>
    <row r="8" spans="2:46" x14ac:dyDescent="0.25">
      <c r="B8" s="89" t="s">
        <v>63</v>
      </c>
      <c r="C8" s="89">
        <f t="shared" si="2"/>
        <v>3</v>
      </c>
      <c r="D8" s="89">
        <f>入力!$P$17*12</f>
        <v>0</v>
      </c>
      <c r="E8" s="89">
        <f>入力!$P$18*12</f>
        <v>12</v>
      </c>
      <c r="F8" s="122">
        <f t="shared" ref="F8:F28" si="15">V8</f>
        <v>4.4733000000000001</v>
      </c>
      <c r="G8" s="122"/>
      <c r="H8" s="89">
        <f>入力!$Q$17*12</f>
        <v>0</v>
      </c>
      <c r="I8" s="89">
        <f>入力!$Q$18*12</f>
        <v>12</v>
      </c>
      <c r="J8" s="122">
        <f t="shared" si="4"/>
        <v>4.4733000000000001</v>
      </c>
      <c r="K8" s="122"/>
      <c r="L8" s="89">
        <f>入力!$R$17*12</f>
        <v>0</v>
      </c>
      <c r="M8" s="89">
        <f>入力!$R$18*12</f>
        <v>12</v>
      </c>
      <c r="N8" s="122">
        <f t="shared" si="5"/>
        <v>4.4733000000000001</v>
      </c>
      <c r="O8" s="122"/>
      <c r="P8" s="89">
        <f>入力!$S$17*12</f>
        <v>0</v>
      </c>
      <c r="Q8" s="89">
        <f>入力!$S$18*12</f>
        <v>12</v>
      </c>
      <c r="R8" s="122">
        <f t="shared" si="6"/>
        <v>4.4733000000000001</v>
      </c>
      <c r="S8" s="122"/>
      <c r="V8" s="106">
        <f t="shared" ref="V8:V22" si="16">IF(Z8="公立",$AD8,IF(Z8="私立",$AE8,0))</f>
        <v>4.4733000000000001</v>
      </c>
      <c r="W8" s="106">
        <f>IF(AA8="公立",$AD8,IF(AA8="私立",$AE8,0))</f>
        <v>4.4733000000000001</v>
      </c>
      <c r="X8" s="106">
        <f t="shared" ref="X8:X22" si="17">IF(AB8="公立",$AD8,IF(AB8="私立",$AE8,0))</f>
        <v>4.4733000000000001</v>
      </c>
      <c r="Y8" s="106">
        <f t="shared" ref="Y8:Y22" si="18">IF(AC8="公立",$AD8,IF(AC8="私立",$AE8,0))</f>
        <v>4.4733000000000001</v>
      </c>
      <c r="Z8" s="126" t="str">
        <f>入力!P16</f>
        <v>公立</v>
      </c>
      <c r="AA8" s="126" t="str">
        <f>入力!Q16</f>
        <v>公立</v>
      </c>
      <c r="AB8" s="126" t="str">
        <f>入力!R16</f>
        <v>公立</v>
      </c>
      <c r="AC8" s="126" t="str">
        <f>入力!S16</f>
        <v>公立</v>
      </c>
      <c r="AD8" s="106">
        <f>AA62/10000</f>
        <v>4.4733000000000001</v>
      </c>
      <c r="AE8" s="106">
        <v>31.876300000000001</v>
      </c>
      <c r="AF8" s="106"/>
      <c r="AN8">
        <f>IFERROR(MATCH($C8,子1!$C:$C,0),1)</f>
        <v>13</v>
      </c>
      <c r="AO8">
        <f>IFERROR(MATCH($C8,子2!$C:$C,0),1)</f>
        <v>16</v>
      </c>
      <c r="AP8">
        <f>IFERROR(MATCH($C8,子3!$C:$C,0),1)</f>
        <v>1</v>
      </c>
      <c r="AQ8">
        <f>IFERROR(MATCH($C8,子4!$C:$C,0),1)</f>
        <v>1</v>
      </c>
      <c r="AR8" s="1">
        <f>INDEX(親1!$D:$D,学費計算!AN8)</f>
        <v>452.62893912920146</v>
      </c>
      <c r="AS8" s="1">
        <f>INDEX(親1!$D:$D,学費計算!AO8)</f>
        <v>486.84193041244208</v>
      </c>
      <c r="AT8" s="1">
        <f>INDEX(親1!$D:$D,学費計算!AP8)</f>
        <v>0</v>
      </c>
    </row>
    <row r="9" spans="2:46" x14ac:dyDescent="0.25">
      <c r="B9" s="90"/>
      <c r="C9" s="90">
        <f t="shared" si="2"/>
        <v>4</v>
      </c>
      <c r="D9" s="90">
        <f t="shared" ref="D9:D10" si="19">D8</f>
        <v>0</v>
      </c>
      <c r="E9" s="90">
        <f t="shared" ref="E9:E10" si="20">E8</f>
        <v>12</v>
      </c>
      <c r="F9" s="97">
        <f t="shared" si="15"/>
        <v>4.2769000000000004</v>
      </c>
      <c r="G9" s="97"/>
      <c r="H9" s="90">
        <f t="shared" ref="H9:H10" si="21">H8</f>
        <v>0</v>
      </c>
      <c r="I9" s="90">
        <f t="shared" ref="I9:I10" si="22">I8</f>
        <v>12</v>
      </c>
      <c r="J9" s="97">
        <f t="shared" si="4"/>
        <v>4.2769000000000004</v>
      </c>
      <c r="K9" s="97"/>
      <c r="L9" s="90">
        <f t="shared" ref="L9:L10" si="23">L8</f>
        <v>0</v>
      </c>
      <c r="M9" s="90">
        <f t="shared" ref="M9:M10" si="24">M8</f>
        <v>12</v>
      </c>
      <c r="N9" s="97">
        <f t="shared" si="5"/>
        <v>4.2769000000000004</v>
      </c>
      <c r="O9" s="97"/>
      <c r="P9" s="90">
        <f t="shared" ref="P9:P10" si="25">P8</f>
        <v>0</v>
      </c>
      <c r="Q9" s="90">
        <f t="shared" ref="Q9:Q10" si="26">Q8</f>
        <v>12</v>
      </c>
      <c r="R9" s="97">
        <f t="shared" si="6"/>
        <v>4.2769000000000004</v>
      </c>
      <c r="S9" s="97"/>
      <c r="V9" s="97">
        <f t="shared" si="16"/>
        <v>4.2769000000000004</v>
      </c>
      <c r="W9" s="97">
        <f t="shared" ref="W9:W22" si="27">IF(AA9="公立",$AD9,IF(AA9="私立",$AE9,0))</f>
        <v>4.2769000000000004</v>
      </c>
      <c r="X9" s="97">
        <f t="shared" si="17"/>
        <v>4.2769000000000004</v>
      </c>
      <c r="Y9" s="97">
        <f t="shared" si="18"/>
        <v>4.2769000000000004</v>
      </c>
      <c r="Z9" s="127" t="str">
        <f t="shared" ref="Z9:Z10" si="28">Z8</f>
        <v>公立</v>
      </c>
      <c r="AA9" s="127" t="str">
        <f t="shared" ref="AA9:AA10" si="29">AA8</f>
        <v>公立</v>
      </c>
      <c r="AB9" s="127" t="str">
        <f t="shared" ref="AB9:AB10" si="30">AB8</f>
        <v>公立</v>
      </c>
      <c r="AC9" s="127" t="str">
        <f t="shared" ref="AC9:AC10" si="31">AC8</f>
        <v>公立</v>
      </c>
      <c r="AD9" s="97">
        <f t="shared" ref="AD9:AD10" si="32">AA63/10000</f>
        <v>4.2769000000000004</v>
      </c>
      <c r="AE9" s="97">
        <v>31.876300000000001</v>
      </c>
      <c r="AF9" s="97"/>
      <c r="AN9">
        <f>IFERROR(MATCH($C9,子1!$C:$C,0),1)</f>
        <v>14</v>
      </c>
      <c r="AO9">
        <f>IFERROR(MATCH($C9,子2!$C:$C,0),1)</f>
        <v>17</v>
      </c>
      <c r="AP9">
        <f>IFERROR(MATCH($C9,子3!$C:$C,0),1)</f>
        <v>1</v>
      </c>
      <c r="AQ9">
        <f>IFERROR(MATCH($C9,子4!$C:$C,0),1)</f>
        <v>1</v>
      </c>
      <c r="AR9" s="1">
        <f>INDEX(親1!$D:$D,学費計算!AN9)</f>
        <v>463.75741885756111</v>
      </c>
      <c r="AS9" s="1">
        <f>INDEX(親1!$D:$D,学費計算!AO9)</f>
        <v>498.81158167675022</v>
      </c>
      <c r="AT9" s="1">
        <f>INDEX(親1!$D:$D,学費計算!AP9)</f>
        <v>0</v>
      </c>
    </row>
    <row r="10" spans="2:46" x14ac:dyDescent="0.25">
      <c r="B10" s="91"/>
      <c r="C10" s="91">
        <f t="shared" si="2"/>
        <v>5</v>
      </c>
      <c r="D10" s="91">
        <f t="shared" si="19"/>
        <v>0</v>
      </c>
      <c r="E10" s="91">
        <f t="shared" si="20"/>
        <v>12</v>
      </c>
      <c r="F10" s="98">
        <f t="shared" si="15"/>
        <v>4.2496</v>
      </c>
      <c r="G10" s="98"/>
      <c r="H10" s="91">
        <f t="shared" si="21"/>
        <v>0</v>
      </c>
      <c r="I10" s="91">
        <f t="shared" si="22"/>
        <v>12</v>
      </c>
      <c r="J10" s="98">
        <f t="shared" si="4"/>
        <v>4.2496</v>
      </c>
      <c r="K10" s="98"/>
      <c r="L10" s="91">
        <f t="shared" si="23"/>
        <v>0</v>
      </c>
      <c r="M10" s="91">
        <f t="shared" si="24"/>
        <v>12</v>
      </c>
      <c r="N10" s="98">
        <f t="shared" si="5"/>
        <v>4.2496</v>
      </c>
      <c r="O10" s="98"/>
      <c r="P10" s="91">
        <f t="shared" si="25"/>
        <v>0</v>
      </c>
      <c r="Q10" s="91">
        <f t="shared" si="26"/>
        <v>12</v>
      </c>
      <c r="R10" s="98">
        <f t="shared" si="6"/>
        <v>4.2496</v>
      </c>
      <c r="S10" s="98"/>
      <c r="V10" s="98">
        <f t="shared" si="16"/>
        <v>4.2496</v>
      </c>
      <c r="W10" s="98">
        <f t="shared" si="27"/>
        <v>4.2496</v>
      </c>
      <c r="X10" s="98">
        <f t="shared" si="17"/>
        <v>4.2496</v>
      </c>
      <c r="Y10" s="98">
        <f t="shared" si="18"/>
        <v>4.2496</v>
      </c>
      <c r="Z10" s="128" t="str">
        <f t="shared" si="28"/>
        <v>公立</v>
      </c>
      <c r="AA10" s="128" t="str">
        <f t="shared" si="29"/>
        <v>公立</v>
      </c>
      <c r="AB10" s="128" t="str">
        <f t="shared" si="30"/>
        <v>公立</v>
      </c>
      <c r="AC10" s="128" t="str">
        <f t="shared" si="31"/>
        <v>公立</v>
      </c>
      <c r="AD10" s="98">
        <f t="shared" si="32"/>
        <v>4.2496</v>
      </c>
      <c r="AE10" s="98">
        <v>31.876300000000001</v>
      </c>
      <c r="AF10" s="98"/>
      <c r="AN10">
        <f>IFERROR(MATCH($C10,子1!$C:$C,0),1)</f>
        <v>15</v>
      </c>
      <c r="AO10">
        <f>IFERROR(MATCH($C10,子2!$C:$C,0),1)</f>
        <v>18</v>
      </c>
      <c r="AP10">
        <f>IFERROR(MATCH($C10,子3!$C:$C,0),1)</f>
        <v>1</v>
      </c>
      <c r="AQ10">
        <f>IFERROR(MATCH($C10,子4!$C:$C,0),1)</f>
        <v>1</v>
      </c>
      <c r="AR10" s="1">
        <f>INDEX(親1!$D:$D,学費計算!AN10)</f>
        <v>475.1595069444644</v>
      </c>
      <c r="AS10" s="1">
        <f>INDEX(親1!$D:$D,学費計算!AO10)</f>
        <v>508.05627670446523</v>
      </c>
      <c r="AT10" s="1">
        <f>INDEX(親1!$D:$D,学費計算!AP10)</f>
        <v>0</v>
      </c>
    </row>
    <row r="11" spans="2:46" x14ac:dyDescent="0.25">
      <c r="B11" s="89" t="s">
        <v>57</v>
      </c>
      <c r="C11" s="89">
        <f t="shared" si="2"/>
        <v>6</v>
      </c>
      <c r="D11" s="89">
        <f>入力!$P$20*12</f>
        <v>12</v>
      </c>
      <c r="E11" s="89">
        <f>入力!$P$21*12</f>
        <v>0</v>
      </c>
      <c r="F11" s="122">
        <f t="shared" si="15"/>
        <v>10.975300000000001</v>
      </c>
      <c r="G11" s="122"/>
      <c r="H11" s="89">
        <f>入力!$Q$20*12</f>
        <v>12</v>
      </c>
      <c r="I11" s="89">
        <f>入力!$Q$21*12</f>
        <v>0</v>
      </c>
      <c r="J11" s="122">
        <f t="shared" si="4"/>
        <v>10.975300000000001</v>
      </c>
      <c r="K11" s="122"/>
      <c r="L11" s="89">
        <f>入力!$R$20*12</f>
        <v>12</v>
      </c>
      <c r="M11" s="89">
        <f>入力!$R$21*12</f>
        <v>0</v>
      </c>
      <c r="N11" s="122">
        <f t="shared" si="5"/>
        <v>10.975300000000001</v>
      </c>
      <c r="O11" s="122"/>
      <c r="P11" s="89">
        <f>入力!$S$20*12</f>
        <v>12</v>
      </c>
      <c r="Q11" s="89">
        <f>入力!$S$21*12</f>
        <v>0</v>
      </c>
      <c r="R11" s="122">
        <f t="shared" si="6"/>
        <v>10.975300000000001</v>
      </c>
      <c r="S11" s="122"/>
      <c r="V11" s="106">
        <f t="shared" si="16"/>
        <v>10.975300000000001</v>
      </c>
      <c r="W11" s="106">
        <f t="shared" si="27"/>
        <v>10.975300000000001</v>
      </c>
      <c r="X11" s="106">
        <f t="shared" si="17"/>
        <v>10.975300000000001</v>
      </c>
      <c r="Y11" s="106">
        <f t="shared" si="18"/>
        <v>10.975300000000001</v>
      </c>
      <c r="Z11" s="126" t="str">
        <f>入力!P19</f>
        <v>公立</v>
      </c>
      <c r="AA11" s="126" t="str">
        <f>入力!Q19</f>
        <v>公立</v>
      </c>
      <c r="AB11" s="126" t="str">
        <f>入力!R19</f>
        <v>公立</v>
      </c>
      <c r="AC11" s="126" t="str">
        <f>入力!S19</f>
        <v>公立</v>
      </c>
      <c r="AD11" s="106">
        <f t="shared" ref="AD11:AD16" si="33">W71/10000</f>
        <v>10.975300000000001</v>
      </c>
      <c r="AE11" s="106">
        <v>87.040800000000004</v>
      </c>
      <c r="AF11" s="106"/>
      <c r="AN11">
        <f>IFERROR(MATCH($C11,子1!$C:$C,0),1)</f>
        <v>16</v>
      </c>
      <c r="AO11">
        <f>IFERROR(MATCH($C11,子2!$C:$C,0),1)</f>
        <v>19</v>
      </c>
      <c r="AP11">
        <f>IFERROR(MATCH($C11,子3!$C:$C,0),1)</f>
        <v>1</v>
      </c>
      <c r="AQ11">
        <f>IFERROR(MATCH($C11,子4!$C:$C,0),1)</f>
        <v>1</v>
      </c>
      <c r="AR11" s="1">
        <f>INDEX(親1!$D:$D,学費計算!AN11)</f>
        <v>486.84193041244208</v>
      </c>
      <c r="AS11" s="1">
        <f>INDEX(親1!$D:$D,学費計算!AO11)</f>
        <v>517.47230774219861</v>
      </c>
      <c r="AT11" s="1">
        <f>INDEX(親1!$D:$D,学費計算!AP11)</f>
        <v>0</v>
      </c>
    </row>
    <row r="12" spans="2:46" x14ac:dyDescent="0.25">
      <c r="B12" s="90"/>
      <c r="C12" s="90">
        <f t="shared" si="2"/>
        <v>7</v>
      </c>
      <c r="D12" s="90">
        <f t="shared" ref="D12:D13" si="34">D11</f>
        <v>12</v>
      </c>
      <c r="E12" s="90">
        <f t="shared" ref="E12:E13" si="35">E11</f>
        <v>0</v>
      </c>
      <c r="F12" s="97">
        <f t="shared" si="15"/>
        <v>3.6476999999999999</v>
      </c>
      <c r="G12" s="97"/>
      <c r="H12" s="90">
        <f t="shared" ref="H12:H13" si="36">H11</f>
        <v>12</v>
      </c>
      <c r="I12" s="90">
        <f t="shared" ref="I12:I13" si="37">I11</f>
        <v>0</v>
      </c>
      <c r="J12" s="97">
        <f t="shared" si="4"/>
        <v>3.6476999999999999</v>
      </c>
      <c r="K12" s="97"/>
      <c r="L12" s="90">
        <f t="shared" ref="L12:L13" si="38">L11</f>
        <v>12</v>
      </c>
      <c r="M12" s="90">
        <f t="shared" ref="M12:M13" si="39">M11</f>
        <v>0</v>
      </c>
      <c r="N12" s="97">
        <f t="shared" si="5"/>
        <v>3.6476999999999999</v>
      </c>
      <c r="O12" s="97"/>
      <c r="P12" s="90">
        <f t="shared" ref="P12:P13" si="40">P11</f>
        <v>12</v>
      </c>
      <c r="Q12" s="90">
        <f t="shared" ref="Q12:Q13" si="41">Q11</f>
        <v>0</v>
      </c>
      <c r="R12" s="97">
        <f t="shared" si="6"/>
        <v>3.6476999999999999</v>
      </c>
      <c r="S12" s="97"/>
      <c r="V12" s="97">
        <f t="shared" si="16"/>
        <v>3.6476999999999999</v>
      </c>
      <c r="W12" s="97">
        <f t="shared" si="27"/>
        <v>3.6476999999999999</v>
      </c>
      <c r="X12" s="97">
        <f t="shared" si="17"/>
        <v>3.6476999999999999</v>
      </c>
      <c r="Y12" s="97">
        <f t="shared" si="18"/>
        <v>3.6476999999999999</v>
      </c>
      <c r="Z12" s="127" t="str">
        <f t="shared" ref="Z12:Z13" si="42">Z11</f>
        <v>公立</v>
      </c>
      <c r="AA12" s="127" t="str">
        <f t="shared" ref="AA12:AA13" si="43">AA11</f>
        <v>公立</v>
      </c>
      <c r="AB12" s="127" t="str">
        <f t="shared" ref="AB12:AB13" si="44">AB11</f>
        <v>公立</v>
      </c>
      <c r="AC12" s="127" t="str">
        <f t="shared" ref="AC12:AC13" si="45">AC11</f>
        <v>公立</v>
      </c>
      <c r="AD12" s="97">
        <f t="shared" si="33"/>
        <v>3.6476999999999999</v>
      </c>
      <c r="AE12" s="97">
        <v>87.040800000000004</v>
      </c>
      <c r="AF12" s="97"/>
      <c r="AN12">
        <f>IFERROR(MATCH($C12,子1!$C:$C,0),1)</f>
        <v>17</v>
      </c>
      <c r="AO12">
        <f>IFERROR(MATCH($C12,子2!$C:$C,0),1)</f>
        <v>20</v>
      </c>
      <c r="AP12">
        <f>IFERROR(MATCH($C12,子3!$C:$C,0),1)</f>
        <v>1</v>
      </c>
      <c r="AQ12">
        <f>IFERROR(MATCH($C12,子4!$C:$C,0),1)</f>
        <v>1</v>
      </c>
      <c r="AR12" s="1">
        <f>INDEX(親1!$D:$D,学費計算!AN12)</f>
        <v>498.81158167675022</v>
      </c>
      <c r="AS12" s="1">
        <f>INDEX(親1!$D:$D,学費計算!AO12)</f>
        <v>527.06285023578619</v>
      </c>
      <c r="AT12" s="1">
        <f>INDEX(親1!$D:$D,学費計算!AP12)</f>
        <v>0</v>
      </c>
    </row>
    <row r="13" spans="2:46" x14ac:dyDescent="0.25">
      <c r="B13" s="91"/>
      <c r="C13" s="91">
        <f t="shared" si="2"/>
        <v>8</v>
      </c>
      <c r="D13" s="91">
        <f t="shared" si="34"/>
        <v>12</v>
      </c>
      <c r="E13" s="91">
        <f t="shared" si="35"/>
        <v>0</v>
      </c>
      <c r="F13" s="98">
        <f t="shared" si="15"/>
        <v>4.6673999999999998</v>
      </c>
      <c r="G13" s="98"/>
      <c r="H13" s="91">
        <f t="shared" si="36"/>
        <v>12</v>
      </c>
      <c r="I13" s="91">
        <f t="shared" si="37"/>
        <v>0</v>
      </c>
      <c r="J13" s="98">
        <f t="shared" si="4"/>
        <v>4.6673999999999998</v>
      </c>
      <c r="K13" s="98"/>
      <c r="L13" s="91">
        <f t="shared" si="38"/>
        <v>12</v>
      </c>
      <c r="M13" s="91">
        <f t="shared" si="39"/>
        <v>0</v>
      </c>
      <c r="N13" s="98">
        <f t="shared" si="5"/>
        <v>4.6673999999999998</v>
      </c>
      <c r="O13" s="98"/>
      <c r="P13" s="91">
        <f t="shared" si="40"/>
        <v>12</v>
      </c>
      <c r="Q13" s="91">
        <f t="shared" si="41"/>
        <v>0</v>
      </c>
      <c r="R13" s="98">
        <f t="shared" si="6"/>
        <v>4.6673999999999998</v>
      </c>
      <c r="S13" s="98"/>
      <c r="V13" s="98">
        <f t="shared" si="16"/>
        <v>4.6673999999999998</v>
      </c>
      <c r="W13" s="98">
        <f t="shared" si="27"/>
        <v>4.6673999999999998</v>
      </c>
      <c r="X13" s="98">
        <f t="shared" si="17"/>
        <v>4.6673999999999998</v>
      </c>
      <c r="Y13" s="98">
        <f t="shared" si="18"/>
        <v>4.6673999999999998</v>
      </c>
      <c r="Z13" s="128" t="str">
        <f t="shared" si="42"/>
        <v>公立</v>
      </c>
      <c r="AA13" s="128" t="str">
        <f t="shared" si="43"/>
        <v>公立</v>
      </c>
      <c r="AB13" s="128" t="str">
        <f t="shared" si="44"/>
        <v>公立</v>
      </c>
      <c r="AC13" s="128" t="str">
        <f t="shared" si="45"/>
        <v>公立</v>
      </c>
      <c r="AD13" s="98">
        <f t="shared" si="33"/>
        <v>4.6673999999999998</v>
      </c>
      <c r="AE13" s="98">
        <v>87.040800000000004</v>
      </c>
      <c r="AF13" s="98"/>
      <c r="AN13">
        <f>IFERROR(MATCH($C13,子1!$C:$C,0),1)</f>
        <v>18</v>
      </c>
      <c r="AO13">
        <f>IFERROR(MATCH($C13,子2!$C:$C,0),1)</f>
        <v>21</v>
      </c>
      <c r="AP13">
        <f>IFERROR(MATCH($C13,子3!$C:$C,0),1)</f>
        <v>1</v>
      </c>
      <c r="AQ13">
        <f>IFERROR(MATCH($C13,子4!$C:$C,0),1)</f>
        <v>1</v>
      </c>
      <c r="AR13" s="1">
        <f>INDEX(親1!$D:$D,学費計算!AN13)</f>
        <v>508.05627670446523</v>
      </c>
      <c r="AS13" s="1">
        <f>INDEX(親1!$D:$D,学費計算!AO13)</f>
        <v>536.83113848300195</v>
      </c>
      <c r="AT13" s="1">
        <f>INDEX(親1!$D:$D,学費計算!AP13)</f>
        <v>0</v>
      </c>
    </row>
    <row r="14" spans="2:46" x14ac:dyDescent="0.25">
      <c r="B14" s="89" t="s">
        <v>59</v>
      </c>
      <c r="C14" s="89">
        <f t="shared" si="2"/>
        <v>9</v>
      </c>
      <c r="D14" s="89">
        <f>入力!$P$20*12</f>
        <v>12</v>
      </c>
      <c r="E14" s="89">
        <f>入力!$P$21*12</f>
        <v>0</v>
      </c>
      <c r="F14" s="122">
        <f t="shared" si="15"/>
        <v>4.5660999999999996</v>
      </c>
      <c r="G14" s="122"/>
      <c r="H14" s="89">
        <f>入力!$Q$20*12</f>
        <v>12</v>
      </c>
      <c r="I14" s="89">
        <f>入力!$Q$21*12</f>
        <v>0</v>
      </c>
      <c r="J14" s="122">
        <f t="shared" si="4"/>
        <v>4.5660999999999996</v>
      </c>
      <c r="K14" s="122"/>
      <c r="L14" s="89">
        <f>入力!$R$20*12</f>
        <v>12</v>
      </c>
      <c r="M14" s="89">
        <f>入力!$R$21*12</f>
        <v>0</v>
      </c>
      <c r="N14" s="122">
        <f t="shared" si="5"/>
        <v>4.5660999999999996</v>
      </c>
      <c r="O14" s="122"/>
      <c r="P14" s="89">
        <f>入力!$S$20*12</f>
        <v>12</v>
      </c>
      <c r="Q14" s="89">
        <f>入力!$S$21*12</f>
        <v>0</v>
      </c>
      <c r="R14" s="122">
        <f t="shared" si="6"/>
        <v>4.5660999999999996</v>
      </c>
      <c r="S14" s="122"/>
      <c r="V14" s="106">
        <f t="shared" si="16"/>
        <v>4.5660999999999996</v>
      </c>
      <c r="W14" s="106">
        <f t="shared" si="27"/>
        <v>4.5660999999999996</v>
      </c>
      <c r="X14" s="106">
        <f t="shared" si="17"/>
        <v>4.5660999999999996</v>
      </c>
      <c r="Y14" s="106">
        <f t="shared" si="18"/>
        <v>4.5660999999999996</v>
      </c>
      <c r="Z14" s="126" t="str">
        <f>Z11</f>
        <v>公立</v>
      </c>
      <c r="AA14" s="126" t="str">
        <f t="shared" ref="AA14:AC14" si="46">AA11</f>
        <v>公立</v>
      </c>
      <c r="AB14" s="126" t="str">
        <f t="shared" si="46"/>
        <v>公立</v>
      </c>
      <c r="AC14" s="126" t="str">
        <f t="shared" si="46"/>
        <v>公立</v>
      </c>
      <c r="AD14" s="106">
        <f t="shared" si="33"/>
        <v>4.5660999999999996</v>
      </c>
      <c r="AE14" s="106">
        <v>87.040800000000004</v>
      </c>
      <c r="AF14" s="106"/>
      <c r="AN14">
        <f>IFERROR(MATCH($C14,子1!$C:$C,0),1)</f>
        <v>19</v>
      </c>
      <c r="AO14">
        <f>IFERROR(MATCH($C14,子2!$C:$C,0),1)</f>
        <v>22</v>
      </c>
      <c r="AP14">
        <f>IFERROR(MATCH($C14,子3!$C:$C,0),1)</f>
        <v>1</v>
      </c>
      <c r="AQ14">
        <f>IFERROR(MATCH($C14,子4!$C:$C,0),1)</f>
        <v>1</v>
      </c>
      <c r="AR14" s="1">
        <f>INDEX(親1!$D:$D,学費計算!AN14)</f>
        <v>517.47230774219861</v>
      </c>
      <c r="AS14" s="1">
        <f>INDEX(親1!$D:$D,学費計算!AO14)</f>
        <v>546.78046672428684</v>
      </c>
      <c r="AT14" s="1">
        <f>INDEX(親1!$D:$D,学費計算!AP14)</f>
        <v>0</v>
      </c>
    </row>
    <row r="15" spans="2:46" x14ac:dyDescent="0.25">
      <c r="B15" s="90"/>
      <c r="C15" s="90">
        <f t="shared" si="2"/>
        <v>10</v>
      </c>
      <c r="D15" s="90">
        <f t="shared" ref="D15:D16" si="47">D14</f>
        <v>12</v>
      </c>
      <c r="E15" s="90">
        <f t="shared" ref="E15:E16" si="48">E14</f>
        <v>0</v>
      </c>
      <c r="F15" s="97">
        <f t="shared" si="15"/>
        <v>5.6357999999999997</v>
      </c>
      <c r="G15" s="97"/>
      <c r="H15" s="90">
        <f t="shared" ref="H15:H16" si="49">H14</f>
        <v>12</v>
      </c>
      <c r="I15" s="90">
        <f t="shared" ref="I15:I16" si="50">I14</f>
        <v>0</v>
      </c>
      <c r="J15" s="97">
        <f t="shared" si="4"/>
        <v>5.6357999999999997</v>
      </c>
      <c r="K15" s="97"/>
      <c r="L15" s="90">
        <f t="shared" ref="L15:L16" si="51">L14</f>
        <v>12</v>
      </c>
      <c r="M15" s="90">
        <f t="shared" ref="M15:M16" si="52">M14</f>
        <v>0</v>
      </c>
      <c r="N15" s="97">
        <f t="shared" si="5"/>
        <v>5.6357999999999997</v>
      </c>
      <c r="O15" s="97"/>
      <c r="P15" s="90">
        <f t="shared" ref="P15:P16" si="53">P14</f>
        <v>12</v>
      </c>
      <c r="Q15" s="90">
        <f t="shared" ref="Q15:Q16" si="54">Q14</f>
        <v>0</v>
      </c>
      <c r="R15" s="97">
        <f t="shared" si="6"/>
        <v>5.6357999999999997</v>
      </c>
      <c r="S15" s="97"/>
      <c r="V15" s="97">
        <f t="shared" si="16"/>
        <v>5.6357999999999997</v>
      </c>
      <c r="W15" s="97">
        <f t="shared" si="27"/>
        <v>5.6357999999999997</v>
      </c>
      <c r="X15" s="97">
        <f t="shared" si="17"/>
        <v>5.6357999999999997</v>
      </c>
      <c r="Y15" s="97">
        <f t="shared" si="18"/>
        <v>5.6357999999999997</v>
      </c>
      <c r="Z15" s="127" t="str">
        <f t="shared" ref="Z15:Z16" si="55">Z14</f>
        <v>公立</v>
      </c>
      <c r="AA15" s="127" t="str">
        <f t="shared" ref="AA15:AA16" si="56">AA14</f>
        <v>公立</v>
      </c>
      <c r="AB15" s="127" t="str">
        <f t="shared" ref="AB15:AB16" si="57">AB14</f>
        <v>公立</v>
      </c>
      <c r="AC15" s="127" t="str">
        <f t="shared" ref="AC15:AC16" si="58">AC14</f>
        <v>公立</v>
      </c>
      <c r="AD15" s="97">
        <f t="shared" si="33"/>
        <v>5.6357999999999997</v>
      </c>
      <c r="AE15" s="97">
        <v>87.040800000000004</v>
      </c>
      <c r="AF15" s="97"/>
      <c r="AN15">
        <f>IFERROR(MATCH($C15,子1!$C:$C,0),1)</f>
        <v>20</v>
      </c>
      <c r="AO15">
        <f>IFERROR(MATCH($C15,子2!$C:$C,0),1)</f>
        <v>23</v>
      </c>
      <c r="AP15">
        <f>IFERROR(MATCH($C15,子3!$C:$C,0),1)</f>
        <v>1</v>
      </c>
      <c r="AQ15">
        <f>IFERROR(MATCH($C15,子4!$C:$C,0),1)</f>
        <v>1</v>
      </c>
      <c r="AR15" s="1">
        <f>INDEX(親1!$D:$D,学費計算!AN15)</f>
        <v>527.06285023578619</v>
      </c>
      <c r="AS15" s="1">
        <f>INDEX(親1!$D:$D,学費計算!AO15)</f>
        <v>555.69017209107403</v>
      </c>
      <c r="AT15" s="1">
        <f>INDEX(親1!$D:$D,学費計算!AP15)</f>
        <v>0</v>
      </c>
    </row>
    <row r="16" spans="2:46" x14ac:dyDescent="0.25">
      <c r="B16" s="91"/>
      <c r="C16" s="91">
        <f t="shared" si="2"/>
        <v>11</v>
      </c>
      <c r="D16" s="91">
        <f t="shared" si="47"/>
        <v>12</v>
      </c>
      <c r="E16" s="91">
        <f t="shared" si="48"/>
        <v>0</v>
      </c>
      <c r="F16" s="98">
        <f t="shared" si="15"/>
        <v>8.4511000000000003</v>
      </c>
      <c r="G16" s="98"/>
      <c r="H16" s="91">
        <f t="shared" si="49"/>
        <v>12</v>
      </c>
      <c r="I16" s="91">
        <f t="shared" si="50"/>
        <v>0</v>
      </c>
      <c r="J16" s="98">
        <f t="shared" si="4"/>
        <v>8.4511000000000003</v>
      </c>
      <c r="K16" s="98"/>
      <c r="L16" s="91">
        <f t="shared" si="51"/>
        <v>12</v>
      </c>
      <c r="M16" s="91">
        <f t="shared" si="52"/>
        <v>0</v>
      </c>
      <c r="N16" s="98">
        <f t="shared" si="5"/>
        <v>8.4511000000000003</v>
      </c>
      <c r="O16" s="98"/>
      <c r="P16" s="91">
        <f t="shared" si="53"/>
        <v>12</v>
      </c>
      <c r="Q16" s="91">
        <f t="shared" si="54"/>
        <v>0</v>
      </c>
      <c r="R16" s="98">
        <f t="shared" si="6"/>
        <v>8.4511000000000003</v>
      </c>
      <c r="S16" s="98"/>
      <c r="V16" s="98">
        <f t="shared" si="16"/>
        <v>8.4511000000000003</v>
      </c>
      <c r="W16" s="98">
        <f t="shared" si="27"/>
        <v>8.4511000000000003</v>
      </c>
      <c r="X16" s="98">
        <f t="shared" si="17"/>
        <v>8.4511000000000003</v>
      </c>
      <c r="Y16" s="98">
        <f t="shared" si="18"/>
        <v>8.4511000000000003</v>
      </c>
      <c r="Z16" s="128" t="str">
        <f t="shared" si="55"/>
        <v>公立</v>
      </c>
      <c r="AA16" s="128" t="str">
        <f t="shared" si="56"/>
        <v>公立</v>
      </c>
      <c r="AB16" s="128" t="str">
        <f t="shared" si="57"/>
        <v>公立</v>
      </c>
      <c r="AC16" s="128" t="str">
        <f t="shared" si="58"/>
        <v>公立</v>
      </c>
      <c r="AD16" s="98">
        <f t="shared" si="33"/>
        <v>8.4511000000000003</v>
      </c>
      <c r="AE16" s="98">
        <v>87.040800000000004</v>
      </c>
      <c r="AF16" s="98"/>
      <c r="AN16">
        <f>IFERROR(MATCH($C16,子1!$C:$C,0),1)</f>
        <v>21</v>
      </c>
      <c r="AO16">
        <f>IFERROR(MATCH($C16,子2!$C:$C,0),1)</f>
        <v>24</v>
      </c>
      <c r="AP16">
        <f>IFERROR(MATCH($C16,子3!$C:$C,0),1)</f>
        <v>1</v>
      </c>
      <c r="AQ16">
        <f>IFERROR(MATCH($C16,子4!$C:$C,0),1)</f>
        <v>1</v>
      </c>
      <c r="AR16" s="1">
        <f>INDEX(親1!$D:$D,学費計算!AN16)</f>
        <v>536.83113848300195</v>
      </c>
      <c r="AS16" s="1">
        <f>INDEX(親1!$D:$D,学費計算!AO16)</f>
        <v>564.74505976511989</v>
      </c>
      <c r="AT16" s="1">
        <f>INDEX(親1!$D:$D,学費計算!AP16)</f>
        <v>0</v>
      </c>
    </row>
    <row r="17" spans="2:46" x14ac:dyDescent="0.25">
      <c r="B17" s="89" t="s">
        <v>60</v>
      </c>
      <c r="C17" s="89">
        <f t="shared" si="2"/>
        <v>12</v>
      </c>
      <c r="D17" s="89">
        <f>入力!$P$23*12</f>
        <v>0</v>
      </c>
      <c r="E17" s="89">
        <f>入力!$P$24*12</f>
        <v>12</v>
      </c>
      <c r="F17" s="122">
        <f t="shared" si="15"/>
        <v>19.459900000000001</v>
      </c>
      <c r="G17" s="122"/>
      <c r="H17" s="89">
        <f>入力!$Q$23*12</f>
        <v>0</v>
      </c>
      <c r="I17" s="89">
        <f>入力!$Q$24*12</f>
        <v>12</v>
      </c>
      <c r="J17" s="122">
        <f t="shared" si="4"/>
        <v>19.459900000000001</v>
      </c>
      <c r="K17" s="122"/>
      <c r="L17" s="89">
        <f>入力!$R$23*12</f>
        <v>0</v>
      </c>
      <c r="M17" s="89">
        <f>入力!$R$24*12</f>
        <v>12</v>
      </c>
      <c r="N17" s="122">
        <f t="shared" si="5"/>
        <v>19.459900000000001</v>
      </c>
      <c r="O17" s="122"/>
      <c r="P17" s="89">
        <f>入力!$S$23*12</f>
        <v>0</v>
      </c>
      <c r="Q17" s="89">
        <f>入力!$S$24*12</f>
        <v>12</v>
      </c>
      <c r="R17" s="122">
        <f t="shared" si="6"/>
        <v>19.459900000000001</v>
      </c>
      <c r="S17" s="122"/>
      <c r="V17" s="106">
        <f t="shared" si="16"/>
        <v>19.459900000000001</v>
      </c>
      <c r="W17" s="106">
        <f t="shared" si="27"/>
        <v>19.459900000000001</v>
      </c>
      <c r="X17" s="106">
        <f t="shared" si="17"/>
        <v>19.459900000000001</v>
      </c>
      <c r="Y17" s="106">
        <f t="shared" si="18"/>
        <v>19.459900000000001</v>
      </c>
      <c r="Z17" s="126" t="str">
        <f>入力!P22</f>
        <v>公立</v>
      </c>
      <c r="AA17" s="126" t="str">
        <f>入力!Q22</f>
        <v>公立</v>
      </c>
      <c r="AB17" s="126" t="str">
        <f>入力!R22</f>
        <v>公立</v>
      </c>
      <c r="AC17" s="126" t="str">
        <f>入力!S22</f>
        <v>公立</v>
      </c>
      <c r="AD17" s="106">
        <f>W82/10000</f>
        <v>19.459900000000001</v>
      </c>
      <c r="AE17" s="106">
        <v>99.743499999999997</v>
      </c>
      <c r="AF17" s="106"/>
      <c r="AN17">
        <f>IFERROR(MATCH($C17,子1!$C:$C,0),1)</f>
        <v>22</v>
      </c>
      <c r="AO17">
        <f>IFERROR(MATCH($C17,子2!$C:$C,0),1)</f>
        <v>25</v>
      </c>
      <c r="AP17">
        <f>IFERROR(MATCH($C17,子3!$C:$C,0),1)</f>
        <v>1</v>
      </c>
      <c r="AQ17">
        <f>IFERROR(MATCH($C17,子4!$C:$C,0),1)</f>
        <v>1</v>
      </c>
      <c r="AR17" s="1">
        <f>INDEX(親1!$D:$D,学費計算!AN17)</f>
        <v>546.78046672428684</v>
      </c>
      <c r="AS17" s="1">
        <f>INDEX(親1!$D:$D,学費計算!AO17)</f>
        <v>573.94749547025833</v>
      </c>
      <c r="AT17" s="1">
        <f>INDEX(親1!$D:$D,学費計算!AP17)</f>
        <v>0</v>
      </c>
    </row>
    <row r="18" spans="2:46" x14ac:dyDescent="0.25">
      <c r="B18" s="90"/>
      <c r="C18" s="90">
        <f t="shared" si="2"/>
        <v>13</v>
      </c>
      <c r="D18" s="90">
        <f t="shared" ref="D18:D19" si="59">D17</f>
        <v>0</v>
      </c>
      <c r="E18" s="90">
        <f t="shared" ref="E18:E19" si="60">E17</f>
        <v>12</v>
      </c>
      <c r="F18" s="97">
        <f t="shared" si="15"/>
        <v>10.5365</v>
      </c>
      <c r="G18" s="97"/>
      <c r="H18" s="90">
        <f t="shared" ref="H18:H19" si="61">H17</f>
        <v>0</v>
      </c>
      <c r="I18" s="90">
        <f t="shared" ref="I18:I19" si="62">I17</f>
        <v>12</v>
      </c>
      <c r="J18" s="97">
        <f t="shared" si="4"/>
        <v>10.5365</v>
      </c>
      <c r="K18" s="97"/>
      <c r="L18" s="90">
        <f t="shared" ref="L18:L19" si="63">L17</f>
        <v>0</v>
      </c>
      <c r="M18" s="90">
        <f t="shared" ref="M18:M19" si="64">M17</f>
        <v>12</v>
      </c>
      <c r="N18" s="97">
        <f t="shared" si="5"/>
        <v>10.5365</v>
      </c>
      <c r="O18" s="97"/>
      <c r="P18" s="90">
        <f t="shared" ref="P18:P19" si="65">P17</f>
        <v>0</v>
      </c>
      <c r="Q18" s="90">
        <f t="shared" ref="Q18:Q19" si="66">Q17</f>
        <v>12</v>
      </c>
      <c r="R18" s="97">
        <f t="shared" si="6"/>
        <v>10.5365</v>
      </c>
      <c r="S18" s="97"/>
      <c r="V18" s="97">
        <f t="shared" si="16"/>
        <v>10.5365</v>
      </c>
      <c r="W18" s="97">
        <f t="shared" si="27"/>
        <v>10.5365</v>
      </c>
      <c r="X18" s="97">
        <f t="shared" si="17"/>
        <v>10.5365</v>
      </c>
      <c r="Y18" s="97">
        <f t="shared" si="18"/>
        <v>10.5365</v>
      </c>
      <c r="Z18" s="127" t="str">
        <f t="shared" ref="Z18:Z19" si="67">Z17</f>
        <v>公立</v>
      </c>
      <c r="AA18" s="127" t="str">
        <f t="shared" ref="AA18:AA19" si="68">AA17</f>
        <v>公立</v>
      </c>
      <c r="AB18" s="127" t="str">
        <f t="shared" ref="AB18:AB19" si="69">AB17</f>
        <v>公立</v>
      </c>
      <c r="AC18" s="127" t="str">
        <f t="shared" ref="AC18:AC19" si="70">AC17</f>
        <v>公立</v>
      </c>
      <c r="AD18" s="97">
        <f>W83/10000</f>
        <v>10.5365</v>
      </c>
      <c r="AE18" s="97">
        <v>99.743499999999997</v>
      </c>
      <c r="AF18" s="97"/>
      <c r="AN18">
        <f>IFERROR(MATCH($C18,子1!$C:$C,0),1)</f>
        <v>23</v>
      </c>
      <c r="AO18">
        <f>IFERROR(MATCH($C18,子2!$C:$C,0),1)</f>
        <v>26</v>
      </c>
      <c r="AP18">
        <f>IFERROR(MATCH($C18,子3!$C:$C,0),1)</f>
        <v>1</v>
      </c>
      <c r="AQ18">
        <f>IFERROR(MATCH($C18,子4!$C:$C,0),1)</f>
        <v>1</v>
      </c>
      <c r="AR18" s="1">
        <f>INDEX(親1!$D:$D,学費計算!AN18)</f>
        <v>555.69017209107403</v>
      </c>
      <c r="AS18" s="1">
        <f>INDEX(親1!$D:$D,学費計算!AO18)</f>
        <v>583.29988347943709</v>
      </c>
      <c r="AT18" s="1">
        <f>INDEX(親1!$D:$D,学費計算!AP18)</f>
        <v>0</v>
      </c>
    </row>
    <row r="19" spans="2:46" x14ac:dyDescent="0.25">
      <c r="B19" s="91"/>
      <c r="C19" s="91">
        <f t="shared" si="2"/>
        <v>14</v>
      </c>
      <c r="D19" s="91">
        <f t="shared" si="59"/>
        <v>0</v>
      </c>
      <c r="E19" s="91">
        <f t="shared" si="60"/>
        <v>12</v>
      </c>
      <c r="F19" s="98">
        <f t="shared" si="15"/>
        <v>11.936</v>
      </c>
      <c r="G19" s="98"/>
      <c r="H19" s="91">
        <f t="shared" si="61"/>
        <v>0</v>
      </c>
      <c r="I19" s="91">
        <f t="shared" si="62"/>
        <v>12</v>
      </c>
      <c r="J19" s="98">
        <f t="shared" si="4"/>
        <v>11.936</v>
      </c>
      <c r="K19" s="98"/>
      <c r="L19" s="91">
        <f t="shared" si="63"/>
        <v>0</v>
      </c>
      <c r="M19" s="91">
        <f t="shared" si="64"/>
        <v>12</v>
      </c>
      <c r="N19" s="98">
        <f t="shared" si="5"/>
        <v>11.936</v>
      </c>
      <c r="O19" s="98"/>
      <c r="P19" s="91">
        <f t="shared" si="65"/>
        <v>0</v>
      </c>
      <c r="Q19" s="91">
        <f t="shared" si="66"/>
        <v>12</v>
      </c>
      <c r="R19" s="98">
        <f t="shared" si="6"/>
        <v>11.936</v>
      </c>
      <c r="S19" s="98"/>
      <c r="V19" s="98">
        <f t="shared" si="16"/>
        <v>11.936</v>
      </c>
      <c r="W19" s="98">
        <f t="shared" si="27"/>
        <v>11.936</v>
      </c>
      <c r="X19" s="98">
        <f t="shared" si="17"/>
        <v>11.936</v>
      </c>
      <c r="Y19" s="98">
        <f t="shared" si="18"/>
        <v>11.936</v>
      </c>
      <c r="Z19" s="128" t="str">
        <f t="shared" si="67"/>
        <v>公立</v>
      </c>
      <c r="AA19" s="128" t="str">
        <f t="shared" si="68"/>
        <v>公立</v>
      </c>
      <c r="AB19" s="128" t="str">
        <f t="shared" si="69"/>
        <v>公立</v>
      </c>
      <c r="AC19" s="128" t="str">
        <f t="shared" si="70"/>
        <v>公立</v>
      </c>
      <c r="AD19" s="98">
        <f>W84/10000</f>
        <v>11.936</v>
      </c>
      <c r="AE19" s="98">
        <v>99.743499999999997</v>
      </c>
      <c r="AF19" s="98"/>
      <c r="AN19">
        <f>IFERROR(MATCH($C19,子1!$C:$C,0),1)</f>
        <v>24</v>
      </c>
      <c r="AO19">
        <f>IFERROR(MATCH($C19,子2!$C:$C,0),1)</f>
        <v>27</v>
      </c>
      <c r="AP19">
        <f>IFERROR(MATCH($C19,子3!$C:$C,0),1)</f>
        <v>1</v>
      </c>
      <c r="AQ19">
        <f>IFERROR(MATCH($C19,子4!$C:$C,0),1)</f>
        <v>1</v>
      </c>
      <c r="AR19" s="1">
        <f>INDEX(親1!$D:$D,学費計算!AN19)</f>
        <v>564.74505976511989</v>
      </c>
      <c r="AS19" s="1">
        <f>INDEX(親1!$D:$D,学費計算!AO19)</f>
        <v>592.80466724286941</v>
      </c>
      <c r="AT19" s="1">
        <f>INDEX(親1!$D:$D,学費計算!AP19)</f>
        <v>0</v>
      </c>
    </row>
    <row r="20" spans="2:46" x14ac:dyDescent="0.25">
      <c r="B20" s="89" t="s">
        <v>61</v>
      </c>
      <c r="C20" s="89">
        <f t="shared" si="2"/>
        <v>15</v>
      </c>
      <c r="D20" s="89">
        <f>入力!$P$26*12</f>
        <v>0</v>
      </c>
      <c r="E20" s="89">
        <f>入力!$P$27*12</f>
        <v>24</v>
      </c>
      <c r="F20" s="122">
        <f t="shared" si="15"/>
        <v>37.037399999999998</v>
      </c>
      <c r="G20" s="122"/>
      <c r="H20" s="89">
        <f>入力!$Q$26*12</f>
        <v>0</v>
      </c>
      <c r="I20" s="89">
        <f>入力!$Q$27*12</f>
        <v>24</v>
      </c>
      <c r="J20" s="122">
        <f t="shared" si="4"/>
        <v>37.037399999999998</v>
      </c>
      <c r="K20" s="122"/>
      <c r="L20" s="89">
        <f>入力!$R$26*12</f>
        <v>0</v>
      </c>
      <c r="M20" s="89">
        <f>入力!$R$27*12</f>
        <v>24</v>
      </c>
      <c r="N20" s="122">
        <f t="shared" si="5"/>
        <v>37.037399999999998</v>
      </c>
      <c r="O20" s="122"/>
      <c r="P20" s="89">
        <f>入力!$S$26*12</f>
        <v>0</v>
      </c>
      <c r="Q20" s="89">
        <f>入力!$S$27*12</f>
        <v>24</v>
      </c>
      <c r="R20" s="122">
        <f t="shared" si="6"/>
        <v>37.037399999999998</v>
      </c>
      <c r="S20" s="122"/>
      <c r="V20" s="106">
        <f t="shared" si="16"/>
        <v>37.037399999999998</v>
      </c>
      <c r="W20" s="106">
        <f t="shared" si="27"/>
        <v>37.037399999999998</v>
      </c>
      <c r="X20" s="106">
        <f t="shared" si="17"/>
        <v>37.037399999999998</v>
      </c>
      <c r="Y20" s="106">
        <f t="shared" si="18"/>
        <v>37.037399999999998</v>
      </c>
      <c r="Z20" s="126" t="str">
        <f>入力!P25</f>
        <v>公立</v>
      </c>
      <c r="AA20" s="126" t="str">
        <f>入力!Q25</f>
        <v>公立</v>
      </c>
      <c r="AB20" s="126" t="str">
        <f>入力!R25</f>
        <v>公立</v>
      </c>
      <c r="AC20" s="126" t="str">
        <f>入力!S25</f>
        <v>公立</v>
      </c>
      <c r="AD20" s="106">
        <f>W89/10000</f>
        <v>37.037399999999998</v>
      </c>
      <c r="AE20" s="106">
        <v>75.510099999999994</v>
      </c>
      <c r="AF20" s="106"/>
      <c r="AN20">
        <f>IFERROR(MATCH($C20,子1!$C:$C,0),1)</f>
        <v>25</v>
      </c>
      <c r="AO20">
        <f>IFERROR(MATCH($C20,子2!$C:$C,0),1)</f>
        <v>28</v>
      </c>
      <c r="AP20">
        <f>IFERROR(MATCH($C20,子3!$C:$C,0),1)</f>
        <v>1</v>
      </c>
      <c r="AQ20">
        <f>IFERROR(MATCH($C20,子4!$C:$C,0),1)</f>
        <v>1</v>
      </c>
      <c r="AR20" s="1">
        <f>INDEX(親1!$D:$D,学費計算!AN20)</f>
        <v>573.94749547025833</v>
      </c>
      <c r="AS20" s="1">
        <f>INDEX(親1!$D:$D,学費計算!AO20)</f>
        <v>602.58868895313367</v>
      </c>
      <c r="AT20" s="1">
        <f>INDEX(親1!$D:$D,学費計算!AP20)</f>
        <v>0</v>
      </c>
    </row>
    <row r="21" spans="2:46" x14ac:dyDescent="0.25">
      <c r="B21" s="90"/>
      <c r="C21" s="90">
        <f t="shared" si="2"/>
        <v>16</v>
      </c>
      <c r="D21" s="90">
        <f t="shared" ref="D21:D22" si="71">D20</f>
        <v>0</v>
      </c>
      <c r="E21" s="90">
        <f t="shared" ref="E21:E22" si="72">E20</f>
        <v>24</v>
      </c>
      <c r="F21" s="97">
        <f t="shared" si="15"/>
        <v>29.9848</v>
      </c>
      <c r="G21" s="97"/>
      <c r="H21" s="90">
        <f t="shared" ref="H21:H22" si="73">H20</f>
        <v>0</v>
      </c>
      <c r="I21" s="90">
        <f t="shared" ref="I21:I22" si="74">I20</f>
        <v>24</v>
      </c>
      <c r="J21" s="97">
        <f t="shared" si="4"/>
        <v>29.9848</v>
      </c>
      <c r="K21" s="97"/>
      <c r="L21" s="90">
        <f t="shared" ref="L21:L22" si="75">L20</f>
        <v>0</v>
      </c>
      <c r="M21" s="90">
        <f t="shared" ref="M21:M22" si="76">M20</f>
        <v>24</v>
      </c>
      <c r="N21" s="97">
        <f t="shared" si="5"/>
        <v>29.9848</v>
      </c>
      <c r="O21" s="97"/>
      <c r="P21" s="90">
        <f t="shared" ref="P21:P22" si="77">P20</f>
        <v>0</v>
      </c>
      <c r="Q21" s="90">
        <f t="shared" ref="Q21:Q22" si="78">Q20</f>
        <v>24</v>
      </c>
      <c r="R21" s="97">
        <f t="shared" si="6"/>
        <v>29.9848</v>
      </c>
      <c r="S21" s="97"/>
      <c r="V21" s="97">
        <f t="shared" si="16"/>
        <v>29.9848</v>
      </c>
      <c r="W21" s="97">
        <f t="shared" si="27"/>
        <v>29.9848</v>
      </c>
      <c r="X21" s="97">
        <f t="shared" si="17"/>
        <v>29.9848</v>
      </c>
      <c r="Y21" s="97">
        <f t="shared" si="18"/>
        <v>29.9848</v>
      </c>
      <c r="Z21" s="127" t="str">
        <f t="shared" ref="Z21:Z22" si="79">Z20</f>
        <v>公立</v>
      </c>
      <c r="AA21" s="127" t="str">
        <f t="shared" ref="AA21:AA22" si="80">AA20</f>
        <v>公立</v>
      </c>
      <c r="AB21" s="127" t="str">
        <f t="shared" ref="AB21:AB22" si="81">AB20</f>
        <v>公立</v>
      </c>
      <c r="AC21" s="127" t="str">
        <f t="shared" ref="AC21:AC22" si="82">AC20</f>
        <v>公立</v>
      </c>
      <c r="AD21" s="97">
        <f>W90/10000</f>
        <v>29.9848</v>
      </c>
      <c r="AE21" s="97">
        <v>75.510099999999994</v>
      </c>
      <c r="AF21" s="97"/>
      <c r="AN21">
        <f>IFERROR(MATCH($C21,子1!$C:$C,0),1)</f>
        <v>26</v>
      </c>
      <c r="AO21">
        <f>IFERROR(MATCH($C21,子2!$C:$C,0),1)</f>
        <v>29</v>
      </c>
      <c r="AP21">
        <f>IFERROR(MATCH($C21,子3!$C:$C,0),1)</f>
        <v>1</v>
      </c>
      <c r="AQ21">
        <f>IFERROR(MATCH($C21,子4!$C:$C,0),1)</f>
        <v>1</v>
      </c>
      <c r="AR21" s="1">
        <f>INDEX(親1!$D:$D,学費計算!AN21)</f>
        <v>583.29988347943709</v>
      </c>
      <c r="AS21" s="1">
        <f>INDEX(親1!$D:$D,学費計算!AO21)</f>
        <v>612.53419232188764</v>
      </c>
      <c r="AT21" s="1">
        <f>INDEX(親1!$D:$D,学費計算!AP21)</f>
        <v>0</v>
      </c>
    </row>
    <row r="22" spans="2:46" x14ac:dyDescent="0.25">
      <c r="B22" s="91"/>
      <c r="C22" s="91">
        <f t="shared" si="2"/>
        <v>17</v>
      </c>
      <c r="D22" s="91">
        <f t="shared" si="71"/>
        <v>0</v>
      </c>
      <c r="E22" s="91">
        <f t="shared" si="72"/>
        <v>24</v>
      </c>
      <c r="F22" s="98">
        <f t="shared" si="15"/>
        <v>17.100000000000001</v>
      </c>
      <c r="G22" s="98"/>
      <c r="H22" s="91">
        <f t="shared" si="73"/>
        <v>0</v>
      </c>
      <c r="I22" s="91">
        <f t="shared" si="74"/>
        <v>24</v>
      </c>
      <c r="J22" s="98">
        <f t="shared" si="4"/>
        <v>17.100000000000001</v>
      </c>
      <c r="K22" s="98"/>
      <c r="L22" s="91">
        <f t="shared" si="75"/>
        <v>0</v>
      </c>
      <c r="M22" s="91">
        <f t="shared" si="76"/>
        <v>24</v>
      </c>
      <c r="N22" s="98">
        <f t="shared" si="5"/>
        <v>17.100000000000001</v>
      </c>
      <c r="O22" s="98"/>
      <c r="P22" s="91">
        <f t="shared" si="77"/>
        <v>0</v>
      </c>
      <c r="Q22" s="91">
        <f t="shared" si="78"/>
        <v>24</v>
      </c>
      <c r="R22" s="98">
        <f t="shared" si="6"/>
        <v>17.100000000000001</v>
      </c>
      <c r="S22" s="98"/>
      <c r="V22" s="98">
        <f t="shared" si="16"/>
        <v>17.100000000000001</v>
      </c>
      <c r="W22" s="98">
        <f t="shared" si="27"/>
        <v>17.100000000000001</v>
      </c>
      <c r="X22" s="98">
        <f t="shared" si="17"/>
        <v>17.100000000000001</v>
      </c>
      <c r="Y22" s="98">
        <f t="shared" si="18"/>
        <v>17.100000000000001</v>
      </c>
      <c r="Z22" s="128" t="str">
        <f t="shared" si="79"/>
        <v>公立</v>
      </c>
      <c r="AA22" s="128" t="str">
        <f t="shared" si="80"/>
        <v>公立</v>
      </c>
      <c r="AB22" s="128" t="str">
        <f t="shared" si="81"/>
        <v>公立</v>
      </c>
      <c r="AC22" s="128" t="str">
        <f t="shared" si="82"/>
        <v>公立</v>
      </c>
      <c r="AD22" s="98">
        <f>W91/10000</f>
        <v>17.100000000000001</v>
      </c>
      <c r="AE22" s="98">
        <v>75.510099999999994</v>
      </c>
      <c r="AF22" s="98"/>
      <c r="AN22">
        <f>IFERROR(MATCH($C22,子1!$C:$C,0),1)</f>
        <v>27</v>
      </c>
      <c r="AO22">
        <f>IFERROR(MATCH($C22,子2!$C:$C,0),1)</f>
        <v>30</v>
      </c>
      <c r="AP22">
        <f>IFERROR(MATCH($C22,子3!$C:$C,0),1)</f>
        <v>1</v>
      </c>
      <c r="AQ22">
        <f>IFERROR(MATCH($C22,子4!$C:$C,0),1)</f>
        <v>1</v>
      </c>
      <c r="AR22" s="1">
        <f>INDEX(親1!$D:$D,学費計算!AN22)</f>
        <v>592.80466724286941</v>
      </c>
      <c r="AS22" s="1">
        <f>INDEX(親1!$D:$D,学費計算!AO22)</f>
        <v>622.64384254416086</v>
      </c>
      <c r="AT22" s="1">
        <f>INDEX(親1!$D:$D,学費計算!AP22)</f>
        <v>0</v>
      </c>
    </row>
    <row r="23" spans="2:46" x14ac:dyDescent="0.25">
      <c r="B23" s="89" t="s">
        <v>66</v>
      </c>
      <c r="C23" s="89">
        <f t="shared" si="2"/>
        <v>18</v>
      </c>
      <c r="E23" s="89"/>
      <c r="F23" s="122">
        <f>V23</f>
        <v>93.225099999999998</v>
      </c>
      <c r="G23" s="89">
        <f>入力!$P$30*12</f>
        <v>0</v>
      </c>
      <c r="I23" s="89"/>
      <c r="J23" s="122">
        <f t="shared" si="4"/>
        <v>93.225099999999998</v>
      </c>
      <c r="K23" s="89">
        <f>入力!$Q$30*12</f>
        <v>72</v>
      </c>
      <c r="M23" s="89"/>
      <c r="N23" s="122">
        <f t="shared" si="5"/>
        <v>93.225099999999998</v>
      </c>
      <c r="O23" s="89">
        <f>入力!$R$30*12</f>
        <v>60</v>
      </c>
      <c r="Q23" s="89"/>
      <c r="R23" s="122">
        <f t="shared" si="6"/>
        <v>93.225099999999998</v>
      </c>
      <c r="S23" s="89">
        <f>入力!$S$30*12</f>
        <v>60</v>
      </c>
      <c r="V23" s="107">
        <f t="shared" ref="V23:V28" si="83">IF(Z23="公立",$AD23,IF(Z23="私立文系",$AE23,IF(Z23="私立理系",$AF23,0)))</f>
        <v>93.225099999999998</v>
      </c>
      <c r="W23" s="107">
        <f>IF(AA23="公立",$AD23,IF(AA23="私立文系",$AE23,IF(AA23="私立理系",$AF23,0)))</f>
        <v>93.225099999999998</v>
      </c>
      <c r="X23" s="107">
        <f t="shared" ref="X23:X28" si="84">IF(AB23="公立",$AD23,IF(AB23="私立文系",$AE23,IF(AB23="私立理系",$AF23,0)))</f>
        <v>93.225099999999998</v>
      </c>
      <c r="Y23" s="107">
        <f t="shared" ref="Y23:Y28" si="85">IF(AC23="公立",$AD23,IF(AC23="私立文系",$AE23,IF(AC23="私立理系",$AF23,0)))</f>
        <v>93.225099999999998</v>
      </c>
      <c r="Z23" s="129" t="str">
        <f>入力!P28</f>
        <v>公立</v>
      </c>
      <c r="AA23" s="129" t="str">
        <f>入力!Q28</f>
        <v>公立</v>
      </c>
      <c r="AB23" s="129" t="str">
        <f>入力!R28</f>
        <v>公立</v>
      </c>
      <c r="AC23" s="129" t="str">
        <f>入力!S28</f>
        <v>公立</v>
      </c>
      <c r="AD23" s="107">
        <v>93.225099999999998</v>
      </c>
      <c r="AE23" s="107">
        <v>116.53100000000001</v>
      </c>
      <c r="AF23" s="107">
        <v>154.08959999999999</v>
      </c>
      <c r="AN23">
        <f>IFERROR(MATCH($C23,子1!$C:$C,0),1)</f>
        <v>28</v>
      </c>
      <c r="AO23">
        <f>IFERROR(MATCH($C23,子2!$C:$C,0),1)</f>
        <v>31</v>
      </c>
      <c r="AP23">
        <f>IFERROR(MATCH($C23,子3!$C:$C,0),1)</f>
        <v>1</v>
      </c>
      <c r="AQ23">
        <f>IFERROR(MATCH($C23,子4!$C:$C,0),1)</f>
        <v>1</v>
      </c>
      <c r="AR23" s="1">
        <f>INDEX(親1!$D:$D,学費計算!AN23)</f>
        <v>602.58868895313367</v>
      </c>
      <c r="AS23" s="1">
        <f>INDEX(親1!$D:$D,学費計算!AO23)</f>
        <v>632.92034880304038</v>
      </c>
      <c r="AT23" s="1">
        <f>INDEX(親1!$D:$D,学費計算!AP23)</f>
        <v>0</v>
      </c>
    </row>
    <row r="24" spans="2:46" x14ac:dyDescent="0.25">
      <c r="B24" s="90"/>
      <c r="C24" s="90">
        <f t="shared" si="2"/>
        <v>19</v>
      </c>
      <c r="E24" s="90"/>
      <c r="F24" s="97">
        <f t="shared" si="15"/>
        <v>53.58</v>
      </c>
      <c r="G24" s="90">
        <f t="shared" ref="G24:G26" si="86">G23</f>
        <v>0</v>
      </c>
      <c r="I24" s="90"/>
      <c r="J24" s="97">
        <f t="shared" si="4"/>
        <v>53.58</v>
      </c>
      <c r="K24" s="90">
        <f t="shared" ref="K24:K26" si="87">K23</f>
        <v>72</v>
      </c>
      <c r="M24" s="90"/>
      <c r="N24" s="97">
        <f t="shared" si="5"/>
        <v>53.58</v>
      </c>
      <c r="O24" s="90">
        <f t="shared" ref="O24:O26" si="88">O23</f>
        <v>60</v>
      </c>
      <c r="Q24" s="90"/>
      <c r="R24" s="97">
        <f t="shared" si="6"/>
        <v>53.58</v>
      </c>
      <c r="S24" s="90">
        <f t="shared" ref="S24:S26" si="89">S23</f>
        <v>60</v>
      </c>
      <c r="V24" s="108">
        <f t="shared" si="83"/>
        <v>53.58</v>
      </c>
      <c r="W24" s="108">
        <f t="shared" ref="W24:W28" si="90">IF(AA24="公立",$AD24,IF(AA24="私立文系",$AE24,IF(AA24="私立理系",$AF24,0)))</f>
        <v>53.58</v>
      </c>
      <c r="X24" s="108">
        <f t="shared" si="84"/>
        <v>53.58</v>
      </c>
      <c r="Y24" s="108">
        <f t="shared" si="85"/>
        <v>53.58</v>
      </c>
      <c r="Z24" s="130" t="str">
        <f>Z23</f>
        <v>公立</v>
      </c>
      <c r="AA24" s="130" t="str">
        <f t="shared" ref="AA24:AA26" si="91">AA23</f>
        <v>公立</v>
      </c>
      <c r="AB24" s="130" t="str">
        <f t="shared" ref="AB24:AB26" si="92">AB23</f>
        <v>公立</v>
      </c>
      <c r="AC24" s="130" t="str">
        <f t="shared" ref="AC24:AC26" si="93">AC23</f>
        <v>公立</v>
      </c>
      <c r="AD24" s="108">
        <v>53.58</v>
      </c>
      <c r="AE24" s="108">
        <v>93.349900000000005</v>
      </c>
      <c r="AF24" s="108">
        <v>128.59559999999999</v>
      </c>
      <c r="AN24">
        <f>IFERROR(MATCH($C24,子1!$C:$C,0),1)</f>
        <v>29</v>
      </c>
      <c r="AO24">
        <f>IFERROR(MATCH($C24,子2!$C:$C,0),1)</f>
        <v>32</v>
      </c>
      <c r="AP24">
        <f>IFERROR(MATCH($C24,子3!$C:$C,0),1)</f>
        <v>1</v>
      </c>
      <c r="AQ24">
        <f>IFERROR(MATCH($C24,子4!$C:$C,0),1)</f>
        <v>1</v>
      </c>
      <c r="AR24" s="1">
        <f>INDEX(親1!$D:$D,学費計算!AN24)</f>
        <v>612.53419232188764</v>
      </c>
      <c r="AS24" s="1">
        <f>INDEX(親1!$D:$D,学費計算!AO24)</f>
        <v>643.36646499567848</v>
      </c>
      <c r="AT24" s="1">
        <f>INDEX(親1!$D:$D,学費計算!AP24)</f>
        <v>0</v>
      </c>
    </row>
    <row r="25" spans="2:46" x14ac:dyDescent="0.25">
      <c r="B25" s="99"/>
      <c r="C25" s="99">
        <f t="shared" si="2"/>
        <v>20</v>
      </c>
      <c r="E25" s="99"/>
      <c r="F25" s="123">
        <f t="shared" si="15"/>
        <v>53.58</v>
      </c>
      <c r="G25" s="99">
        <f t="shared" si="86"/>
        <v>0</v>
      </c>
      <c r="I25" s="99"/>
      <c r="J25" s="123">
        <f t="shared" si="4"/>
        <v>53.58</v>
      </c>
      <c r="K25" s="99">
        <f t="shared" si="87"/>
        <v>72</v>
      </c>
      <c r="M25" s="99"/>
      <c r="N25" s="123">
        <f t="shared" si="5"/>
        <v>53.58</v>
      </c>
      <c r="O25" s="99">
        <f t="shared" si="88"/>
        <v>60</v>
      </c>
      <c r="Q25" s="99"/>
      <c r="R25" s="123">
        <f t="shared" si="6"/>
        <v>53.58</v>
      </c>
      <c r="S25" s="99">
        <f t="shared" si="89"/>
        <v>60</v>
      </c>
      <c r="V25" s="109">
        <f t="shared" si="83"/>
        <v>53.58</v>
      </c>
      <c r="W25" s="109">
        <f t="shared" si="90"/>
        <v>53.58</v>
      </c>
      <c r="X25" s="109">
        <f t="shared" si="84"/>
        <v>53.58</v>
      </c>
      <c r="Y25" s="109">
        <f t="shared" si="85"/>
        <v>53.58</v>
      </c>
      <c r="Z25" s="131" t="str">
        <f t="shared" ref="Z25:Z26" si="94">Z24</f>
        <v>公立</v>
      </c>
      <c r="AA25" s="131" t="str">
        <f t="shared" si="91"/>
        <v>公立</v>
      </c>
      <c r="AB25" s="131" t="str">
        <f t="shared" si="92"/>
        <v>公立</v>
      </c>
      <c r="AC25" s="131" t="str">
        <f t="shared" si="93"/>
        <v>公立</v>
      </c>
      <c r="AD25" s="109">
        <v>53.58</v>
      </c>
      <c r="AE25" s="109">
        <v>93.349900000000005</v>
      </c>
      <c r="AF25" s="109">
        <v>128.59559999999999</v>
      </c>
      <c r="AN25">
        <f>IFERROR(MATCH($C25,子1!$C:$C,0),1)</f>
        <v>30</v>
      </c>
      <c r="AO25">
        <f>IFERROR(MATCH($C25,子2!$C:$C,0),1)</f>
        <v>33</v>
      </c>
      <c r="AP25">
        <f>IFERROR(MATCH($C25,子3!$C:$C,0),1)</f>
        <v>1</v>
      </c>
      <c r="AQ25">
        <f>IFERROR(MATCH($C25,子4!$C:$C,0),1)</f>
        <v>1</v>
      </c>
      <c r="AR25" s="1">
        <f>INDEX(親1!$D:$D,学費計算!AN25)</f>
        <v>622.64384254416086</v>
      </c>
      <c r="AS25" s="1">
        <f>INDEX(親1!$D:$D,学費計算!AO25)</f>
        <v>641.21294335086088</v>
      </c>
      <c r="AT25" s="1">
        <f>INDEX(親1!$D:$D,学費計算!AP25)</f>
        <v>0</v>
      </c>
    </row>
    <row r="26" spans="2:46" x14ac:dyDescent="0.25">
      <c r="B26" s="91"/>
      <c r="C26" s="91">
        <f t="shared" si="2"/>
        <v>21</v>
      </c>
      <c r="E26" s="91"/>
      <c r="F26" s="98">
        <f t="shared" si="15"/>
        <v>53.58</v>
      </c>
      <c r="G26" s="91">
        <f t="shared" si="86"/>
        <v>0</v>
      </c>
      <c r="I26" s="91"/>
      <c r="J26" s="98">
        <f t="shared" si="4"/>
        <v>53.58</v>
      </c>
      <c r="K26" s="91">
        <f t="shared" si="87"/>
        <v>72</v>
      </c>
      <c r="M26" s="91"/>
      <c r="N26" s="98">
        <f t="shared" si="5"/>
        <v>53.58</v>
      </c>
      <c r="O26" s="91">
        <f t="shared" si="88"/>
        <v>60</v>
      </c>
      <c r="Q26" s="91"/>
      <c r="R26" s="98">
        <f t="shared" si="6"/>
        <v>53.58</v>
      </c>
      <c r="S26" s="91">
        <f t="shared" si="89"/>
        <v>60</v>
      </c>
      <c r="V26" s="100">
        <f t="shared" si="83"/>
        <v>53.58</v>
      </c>
      <c r="W26" s="100">
        <f t="shared" si="90"/>
        <v>53.58</v>
      </c>
      <c r="X26" s="100">
        <f t="shared" si="84"/>
        <v>53.58</v>
      </c>
      <c r="Y26" s="100">
        <f t="shared" si="85"/>
        <v>53.58</v>
      </c>
      <c r="Z26" s="132" t="str">
        <f t="shared" si="94"/>
        <v>公立</v>
      </c>
      <c r="AA26" s="132" t="str">
        <f t="shared" si="91"/>
        <v>公立</v>
      </c>
      <c r="AB26" s="132" t="str">
        <f t="shared" si="92"/>
        <v>公立</v>
      </c>
      <c r="AC26" s="132" t="str">
        <f t="shared" si="93"/>
        <v>公立</v>
      </c>
      <c r="AD26" s="100">
        <v>53.58</v>
      </c>
      <c r="AE26" s="100">
        <v>93.349900000000005</v>
      </c>
      <c r="AF26" s="100">
        <v>128.59559999999999</v>
      </c>
      <c r="AN26">
        <f>IFERROR(MATCH($C26,子1!$C:$C,0),1)</f>
        <v>31</v>
      </c>
      <c r="AO26">
        <f>IFERROR(MATCH($C26,子2!$C:$C,0),1)</f>
        <v>34</v>
      </c>
      <c r="AP26">
        <f>IFERROR(MATCH($C26,子3!$C:$C,0),1)</f>
        <v>1</v>
      </c>
      <c r="AQ26">
        <f>IFERROR(MATCH($C26,子4!$C:$C,0),1)</f>
        <v>1</v>
      </c>
      <c r="AR26" s="1">
        <f>INDEX(親1!$D:$D,学費計算!AN26)</f>
        <v>632.92034880304038</v>
      </c>
      <c r="AS26" s="1">
        <f>INDEX(親1!$D:$D,学費計算!AO26)</f>
        <v>639.066630125703</v>
      </c>
      <c r="AT26" s="1">
        <f>INDEX(親1!$D:$D,学費計算!AP26)</f>
        <v>0</v>
      </c>
    </row>
    <row r="27" spans="2:46" x14ac:dyDescent="0.25">
      <c r="B27" s="89" t="s">
        <v>67</v>
      </c>
      <c r="C27" s="89">
        <f t="shared" si="2"/>
        <v>22</v>
      </c>
      <c r="E27" s="89"/>
      <c r="F27" s="122">
        <f t="shared" si="15"/>
        <v>0</v>
      </c>
      <c r="G27" s="89">
        <f>入力!$P$33*12</f>
        <v>0</v>
      </c>
      <c r="I27" s="89"/>
      <c r="J27" s="122">
        <f t="shared" si="4"/>
        <v>93.225099999999998</v>
      </c>
      <c r="K27" s="89">
        <f>入力!$Q$33*12</f>
        <v>72</v>
      </c>
      <c r="M27" s="89"/>
      <c r="N27" s="122">
        <f t="shared" si="5"/>
        <v>93.225099999999998</v>
      </c>
      <c r="O27" s="89">
        <f>入力!$R$33*12</f>
        <v>60</v>
      </c>
      <c r="Q27" s="89"/>
      <c r="R27" s="122">
        <f t="shared" si="6"/>
        <v>93.225099999999998</v>
      </c>
      <c r="S27" s="89">
        <f>入力!$S$33*12</f>
        <v>60</v>
      </c>
      <c r="V27" s="107">
        <f t="shared" si="83"/>
        <v>0</v>
      </c>
      <c r="W27" s="107">
        <f t="shared" si="90"/>
        <v>93.225099999999998</v>
      </c>
      <c r="X27" s="107">
        <f t="shared" si="84"/>
        <v>93.225099999999998</v>
      </c>
      <c r="Y27" s="107">
        <f t="shared" si="85"/>
        <v>93.225099999999998</v>
      </c>
      <c r="Z27" s="129">
        <f>入力!P31</f>
        <v>0</v>
      </c>
      <c r="AA27" s="129" t="str">
        <f>入力!Q31</f>
        <v>公立</v>
      </c>
      <c r="AB27" s="129" t="str">
        <f>入力!R31</f>
        <v>公立</v>
      </c>
      <c r="AC27" s="129" t="str">
        <f>入力!S31</f>
        <v>公立</v>
      </c>
      <c r="AD27" s="107">
        <v>93.225099999999998</v>
      </c>
      <c r="AE27" s="107">
        <v>116.53100000000001</v>
      </c>
      <c r="AF27" s="107">
        <v>154.08959999999999</v>
      </c>
      <c r="AN27">
        <f>IFERROR(MATCH($C27,子1!$C:$C,0),1)</f>
        <v>32</v>
      </c>
      <c r="AO27">
        <f>IFERROR(MATCH($C27,子2!$C:$C,0),1)</f>
        <v>35</v>
      </c>
      <c r="AP27">
        <f>IFERROR(MATCH($C27,子3!$C:$C,0),1)</f>
        <v>1</v>
      </c>
      <c r="AQ27">
        <f>IFERROR(MATCH($C27,子4!$C:$C,0),1)</f>
        <v>1</v>
      </c>
      <c r="AR27" s="1">
        <f>INDEX(親1!$D:$D,学費計算!AN27)</f>
        <v>643.36646499567848</v>
      </c>
      <c r="AS27" s="1">
        <f>INDEX(親1!$D:$D,学費計算!AO27)</f>
        <v>636.92750119167385</v>
      </c>
      <c r="AT27" s="1">
        <f>INDEX(親1!$D:$D,学費計算!AP27)</f>
        <v>0</v>
      </c>
    </row>
    <row r="28" spans="2:46" ht="15" thickBot="1" x14ac:dyDescent="0.3">
      <c r="B28" s="91"/>
      <c r="C28" s="91">
        <f t="shared" si="2"/>
        <v>23</v>
      </c>
      <c r="E28" s="91"/>
      <c r="F28" s="98">
        <f t="shared" si="15"/>
        <v>0</v>
      </c>
      <c r="G28" s="91">
        <f t="shared" ref="G28" si="95">G27</f>
        <v>0</v>
      </c>
      <c r="I28" s="91"/>
      <c r="J28" s="98">
        <f t="shared" si="4"/>
        <v>53.58</v>
      </c>
      <c r="K28" s="91">
        <f t="shared" ref="K28" si="96">K27</f>
        <v>72</v>
      </c>
      <c r="M28" s="91"/>
      <c r="N28" s="98">
        <f t="shared" si="5"/>
        <v>53.58</v>
      </c>
      <c r="O28" s="91">
        <f t="shared" ref="O28" si="97">O27</f>
        <v>60</v>
      </c>
      <c r="Q28" s="91"/>
      <c r="R28" s="98">
        <f t="shared" si="6"/>
        <v>53.58</v>
      </c>
      <c r="S28" s="91">
        <f t="shared" ref="S28" si="98">S27</f>
        <v>60</v>
      </c>
      <c r="V28" s="100">
        <f t="shared" si="83"/>
        <v>0</v>
      </c>
      <c r="W28" s="100">
        <f t="shared" si="90"/>
        <v>53.58</v>
      </c>
      <c r="X28" s="100">
        <f t="shared" si="84"/>
        <v>53.58</v>
      </c>
      <c r="Y28" s="100">
        <f t="shared" si="85"/>
        <v>53.58</v>
      </c>
      <c r="Z28" s="132">
        <f t="shared" ref="Z28:AC28" si="99">Z27</f>
        <v>0</v>
      </c>
      <c r="AA28" s="132" t="str">
        <f t="shared" si="99"/>
        <v>公立</v>
      </c>
      <c r="AB28" s="132" t="str">
        <f t="shared" si="99"/>
        <v>公立</v>
      </c>
      <c r="AC28" s="132" t="str">
        <f t="shared" si="99"/>
        <v>公立</v>
      </c>
      <c r="AD28" s="100">
        <v>53.58</v>
      </c>
      <c r="AE28" s="100">
        <v>93.349900000000005</v>
      </c>
      <c r="AF28" s="100">
        <v>128.59559999999999</v>
      </c>
      <c r="AN28">
        <f>IFERROR(MATCH($C28,子1!$C:$C,0),1)</f>
        <v>33</v>
      </c>
      <c r="AO28">
        <f>IFERROR(MATCH($C28,子2!$C:$C,0),1)</f>
        <v>36</v>
      </c>
      <c r="AP28">
        <f>IFERROR(MATCH($C28,子3!$C:$C,0),1)</f>
        <v>1</v>
      </c>
      <c r="AQ28">
        <f>IFERROR(MATCH($C28,子4!$C:$C,0),1)</f>
        <v>1</v>
      </c>
      <c r="AR28" s="1">
        <f>INDEX(親1!$D:$D,学費計算!AN28)</f>
        <v>641.21294335086088</v>
      </c>
      <c r="AS28" s="1">
        <f>INDEX(親1!$D:$D,学費計算!AO28)</f>
        <v>634.79553250100696</v>
      </c>
      <c r="AT28" s="1">
        <f>INDEX(親1!$D:$D,学費計算!AP28)</f>
        <v>0</v>
      </c>
    </row>
    <row r="29" spans="2:46" ht="15" thickBot="1" x14ac:dyDescent="0.3">
      <c r="B29" s="103" t="s">
        <v>35</v>
      </c>
      <c r="C29" s="104"/>
      <c r="D29" s="104">
        <f>SUM(D7:D28)</f>
        <v>72</v>
      </c>
      <c r="E29" s="104">
        <f t="shared" ref="E29:S29" si="100">SUM(E7:E28)</f>
        <v>144</v>
      </c>
      <c r="F29" s="104">
        <f t="shared" si="100"/>
        <v>466.96289999999993</v>
      </c>
      <c r="G29" s="104">
        <f t="shared" si="100"/>
        <v>0</v>
      </c>
      <c r="H29" s="104">
        <f t="shared" si="100"/>
        <v>72</v>
      </c>
      <c r="I29" s="104">
        <f t="shared" si="100"/>
        <v>144</v>
      </c>
      <c r="J29" s="104">
        <f t="shared" si="100"/>
        <v>598.76799999999992</v>
      </c>
      <c r="K29" s="104">
        <f t="shared" si="100"/>
        <v>432</v>
      </c>
      <c r="L29" s="104">
        <f t="shared" si="100"/>
        <v>72</v>
      </c>
      <c r="M29" s="104">
        <f t="shared" si="100"/>
        <v>144</v>
      </c>
      <c r="N29" s="104">
        <f t="shared" si="100"/>
        <v>577.76799999999992</v>
      </c>
      <c r="O29" s="104">
        <f t="shared" si="100"/>
        <v>360</v>
      </c>
      <c r="P29" s="104">
        <f t="shared" si="100"/>
        <v>72</v>
      </c>
      <c r="Q29" s="104">
        <f t="shared" si="100"/>
        <v>144</v>
      </c>
      <c r="R29" s="104">
        <f t="shared" si="100"/>
        <v>577.76799999999992</v>
      </c>
      <c r="S29" s="104">
        <f t="shared" si="100"/>
        <v>360</v>
      </c>
      <c r="V29" s="39">
        <f>SUM(V5:V28)</f>
        <v>538.96289999999999</v>
      </c>
      <c r="W29" s="39">
        <f>SUM(W5:W28)</f>
        <v>637.76799999999992</v>
      </c>
      <c r="X29" s="39">
        <f>SUM(X5:X28)</f>
        <v>577.76799999999992</v>
      </c>
      <c r="Y29" s="39">
        <f>SUM(Y5:Y28)</f>
        <v>577.76799999999992</v>
      </c>
      <c r="AD29" s="88" t="s">
        <v>56</v>
      </c>
      <c r="AE29" s="88" t="s">
        <v>70</v>
      </c>
      <c r="AF29" s="88" t="s">
        <v>69</v>
      </c>
    </row>
    <row r="33" spans="2:45" x14ac:dyDescent="0.25">
      <c r="AS33" t="s">
        <v>68</v>
      </c>
    </row>
    <row r="34" spans="2:45" x14ac:dyDescent="0.25">
      <c r="B34" t="s">
        <v>431</v>
      </c>
    </row>
    <row r="35" spans="2:45" x14ac:dyDescent="0.25">
      <c r="AD35" s="121"/>
      <c r="AE35" s="121"/>
      <c r="AF35" s="121"/>
      <c r="AG35" s="121"/>
      <c r="AH35" s="121"/>
      <c r="AI35" s="121"/>
      <c r="AJ35" s="121"/>
      <c r="AK35" s="121"/>
    </row>
    <row r="36" spans="2:45" x14ac:dyDescent="0.25">
      <c r="V36" t="s">
        <v>383</v>
      </c>
      <c r="AD36" s="121"/>
      <c r="AE36" s="121"/>
      <c r="AF36" s="121"/>
      <c r="AG36" s="121"/>
      <c r="AH36" s="121"/>
      <c r="AI36" s="121"/>
      <c r="AJ36" s="121"/>
      <c r="AK36" s="121"/>
      <c r="AS36" t="s">
        <v>84</v>
      </c>
    </row>
    <row r="37" spans="2:45" x14ac:dyDescent="0.25">
      <c r="AD37" s="121"/>
      <c r="AE37" s="121"/>
      <c r="AF37" s="121"/>
      <c r="AG37" s="121"/>
      <c r="AH37" s="121"/>
      <c r="AI37" s="121"/>
      <c r="AJ37" s="121"/>
      <c r="AK37" s="121"/>
      <c r="AS37" t="s">
        <v>108</v>
      </c>
    </row>
    <row r="38" spans="2:45" x14ac:dyDescent="0.25">
      <c r="V38" t="s">
        <v>378</v>
      </c>
      <c r="W38" t="s">
        <v>379</v>
      </c>
      <c r="X38" t="s">
        <v>29</v>
      </c>
      <c r="Y38" t="s">
        <v>380</v>
      </c>
      <c r="Z38" s="121" t="s">
        <v>381</v>
      </c>
      <c r="AA38" s="121" t="s">
        <v>382</v>
      </c>
      <c r="AD38" s="121"/>
      <c r="AE38" s="121"/>
      <c r="AF38" s="121"/>
      <c r="AG38" s="121"/>
      <c r="AH38" s="121"/>
      <c r="AI38" s="121"/>
      <c r="AJ38" s="121"/>
      <c r="AK38" s="121"/>
      <c r="AS38" t="s">
        <v>89</v>
      </c>
    </row>
    <row r="39" spans="2:45" x14ac:dyDescent="0.25">
      <c r="V39">
        <v>0</v>
      </c>
      <c r="AD39" s="121"/>
      <c r="AE39" s="121"/>
      <c r="AF39" s="121"/>
      <c r="AG39" s="121"/>
      <c r="AH39" s="121"/>
      <c r="AI39" s="121"/>
      <c r="AJ39" s="121"/>
      <c r="AK39" s="121"/>
    </row>
    <row r="40" spans="2:45" x14ac:dyDescent="0.25">
      <c r="V40" s="266">
        <v>220</v>
      </c>
      <c r="W40" s="111">
        <v>10100</v>
      </c>
      <c r="X40">
        <v>2000</v>
      </c>
      <c r="Y40" s="111">
        <v>12100</v>
      </c>
      <c r="Z40" s="121">
        <v>15</v>
      </c>
      <c r="AA40" s="121">
        <v>44</v>
      </c>
      <c r="AD40" s="121"/>
      <c r="AE40" s="121"/>
      <c r="AF40" s="121"/>
      <c r="AG40" s="121"/>
      <c r="AH40" s="121"/>
      <c r="AI40" s="121"/>
      <c r="AJ40" s="121"/>
      <c r="AK40" s="121"/>
      <c r="AS40" t="s">
        <v>65</v>
      </c>
    </row>
    <row r="41" spans="2:45" x14ac:dyDescent="0.25">
      <c r="V41" s="266">
        <v>230</v>
      </c>
      <c r="W41" s="111">
        <v>11800</v>
      </c>
      <c r="X41">
        <v>2000</v>
      </c>
      <c r="Y41" s="111">
        <v>13800</v>
      </c>
      <c r="Z41" s="121">
        <v>17</v>
      </c>
      <c r="AA41" s="121">
        <v>50</v>
      </c>
      <c r="AD41" s="121"/>
      <c r="AE41" s="121"/>
      <c r="AF41" s="121"/>
      <c r="AG41" s="121"/>
      <c r="AH41" s="121"/>
      <c r="AI41" s="121"/>
      <c r="AJ41" s="121"/>
      <c r="AK41" s="121"/>
    </row>
    <row r="42" spans="2:45" x14ac:dyDescent="0.25">
      <c r="V42" s="266">
        <v>235</v>
      </c>
      <c r="W42" s="111">
        <v>14000</v>
      </c>
      <c r="X42">
        <v>2000</v>
      </c>
      <c r="Y42" s="111">
        <v>16000</v>
      </c>
      <c r="Z42" s="121">
        <v>19</v>
      </c>
      <c r="AA42" s="121">
        <v>58</v>
      </c>
      <c r="AD42" s="121"/>
      <c r="AE42" s="121"/>
      <c r="AF42" s="121"/>
      <c r="AG42" s="121"/>
      <c r="AH42" s="121"/>
      <c r="AI42" s="121"/>
      <c r="AJ42" s="121"/>
      <c r="AK42" s="121"/>
    </row>
    <row r="43" spans="2:45" x14ac:dyDescent="0.25">
      <c r="V43" s="266">
        <v>250</v>
      </c>
      <c r="W43" s="111">
        <v>15700</v>
      </c>
      <c r="X43">
        <v>2000</v>
      </c>
      <c r="Y43" s="111">
        <v>17700</v>
      </c>
      <c r="Z43" s="121">
        <v>21</v>
      </c>
      <c r="AA43" s="121">
        <v>64</v>
      </c>
      <c r="AD43" s="121"/>
      <c r="AE43" s="121"/>
      <c r="AF43" s="121"/>
      <c r="AG43" s="121"/>
      <c r="AH43" s="121"/>
      <c r="AI43" s="121"/>
      <c r="AJ43" s="121"/>
      <c r="AK43" s="121"/>
    </row>
    <row r="44" spans="2:45" x14ac:dyDescent="0.25">
      <c r="V44" s="266">
        <v>257</v>
      </c>
      <c r="W44" s="111">
        <v>18300</v>
      </c>
      <c r="X44">
        <v>2000</v>
      </c>
      <c r="Y44" s="111">
        <v>20300</v>
      </c>
      <c r="Z44" s="121">
        <v>24</v>
      </c>
      <c r="AA44" s="121">
        <v>73</v>
      </c>
      <c r="AD44" s="121"/>
      <c r="AE44" s="121"/>
      <c r="AF44" s="121"/>
      <c r="AG44" s="121"/>
      <c r="AH44" s="121"/>
      <c r="AI44" s="121"/>
      <c r="AJ44" s="121"/>
      <c r="AK44" s="121"/>
    </row>
    <row r="45" spans="2:45" x14ac:dyDescent="0.25">
      <c r="V45" s="266">
        <v>263</v>
      </c>
      <c r="W45" s="111">
        <v>18300</v>
      </c>
      <c r="X45">
        <v>2000</v>
      </c>
      <c r="Y45" s="111">
        <v>20300</v>
      </c>
      <c r="Z45" s="133">
        <v>24</v>
      </c>
      <c r="AA45" s="133">
        <v>73</v>
      </c>
    </row>
    <row r="46" spans="2:45" x14ac:dyDescent="0.25">
      <c r="V46" s="266">
        <v>315</v>
      </c>
      <c r="W46" s="111">
        <v>21500</v>
      </c>
      <c r="X46">
        <v>2000</v>
      </c>
      <c r="Y46" s="111">
        <v>23500</v>
      </c>
      <c r="Z46" s="133">
        <v>28</v>
      </c>
      <c r="AA46" s="133">
        <v>85</v>
      </c>
    </row>
    <row r="47" spans="2:45" x14ac:dyDescent="0.25">
      <c r="V47" s="266">
        <v>320</v>
      </c>
      <c r="W47" s="111">
        <v>21500</v>
      </c>
      <c r="X47">
        <v>2000</v>
      </c>
      <c r="Y47" s="111">
        <v>23500</v>
      </c>
      <c r="Z47" s="133">
        <v>28</v>
      </c>
      <c r="AA47" s="133">
        <v>85</v>
      </c>
    </row>
    <row r="48" spans="2:45" x14ac:dyDescent="0.25">
      <c r="V48" s="266">
        <v>370</v>
      </c>
      <c r="W48" s="111">
        <v>24900</v>
      </c>
      <c r="X48">
        <v>2000</v>
      </c>
      <c r="Y48" s="111">
        <v>26900</v>
      </c>
      <c r="Z48" s="133">
        <v>32</v>
      </c>
      <c r="AA48" s="133">
        <v>97</v>
      </c>
    </row>
    <row r="49" spans="21:28" x14ac:dyDescent="0.25">
      <c r="V49" s="266">
        <v>415</v>
      </c>
      <c r="W49" s="111">
        <v>28300</v>
      </c>
      <c r="X49">
        <v>2000</v>
      </c>
      <c r="Y49" s="111">
        <v>30300</v>
      </c>
      <c r="Z49" s="133">
        <v>36</v>
      </c>
      <c r="AA49" s="133">
        <v>109</v>
      </c>
    </row>
    <row r="50" spans="21:28" x14ac:dyDescent="0.25">
      <c r="V50" s="266">
        <v>460</v>
      </c>
      <c r="W50" s="111">
        <v>32700</v>
      </c>
      <c r="X50">
        <v>2000</v>
      </c>
      <c r="Y50" s="111">
        <v>34700</v>
      </c>
      <c r="Z50" s="133">
        <v>42</v>
      </c>
      <c r="AA50" s="133">
        <v>125</v>
      </c>
    </row>
    <row r="51" spans="21:28" x14ac:dyDescent="0.25">
      <c r="V51" s="266">
        <v>550</v>
      </c>
      <c r="W51" s="265">
        <v>39400</v>
      </c>
      <c r="X51">
        <v>2000</v>
      </c>
      <c r="Y51" s="111">
        <v>41400</v>
      </c>
      <c r="Z51">
        <v>50</v>
      </c>
      <c r="AA51">
        <v>149</v>
      </c>
    </row>
    <row r="52" spans="21:28" x14ac:dyDescent="0.25">
      <c r="V52" s="266">
        <v>655</v>
      </c>
      <c r="W52" s="265">
        <v>45100</v>
      </c>
      <c r="X52">
        <v>2000</v>
      </c>
      <c r="Y52" s="111">
        <v>47100</v>
      </c>
      <c r="Z52">
        <v>57</v>
      </c>
      <c r="AA52">
        <v>170</v>
      </c>
    </row>
    <row r="53" spans="21:28" x14ac:dyDescent="0.25">
      <c r="V53" s="266">
        <v>670</v>
      </c>
      <c r="W53" s="265">
        <v>45100</v>
      </c>
      <c r="X53">
        <v>2000</v>
      </c>
      <c r="Y53" s="111">
        <v>47100</v>
      </c>
      <c r="Z53">
        <v>57</v>
      </c>
      <c r="AA53">
        <v>170</v>
      </c>
    </row>
    <row r="54" spans="21:28" x14ac:dyDescent="0.25">
      <c r="V54" s="266">
        <v>752</v>
      </c>
      <c r="W54" s="265">
        <v>50700</v>
      </c>
      <c r="X54">
        <v>2000</v>
      </c>
      <c r="Y54" s="111">
        <v>52700</v>
      </c>
      <c r="Z54">
        <v>63</v>
      </c>
      <c r="AA54">
        <v>190</v>
      </c>
    </row>
    <row r="55" spans="21:28" x14ac:dyDescent="0.25">
      <c r="V55" s="266">
        <v>850</v>
      </c>
      <c r="W55" s="265">
        <v>53000</v>
      </c>
      <c r="X55">
        <v>2000</v>
      </c>
      <c r="Y55" s="111">
        <v>55000</v>
      </c>
      <c r="Z55">
        <v>66</v>
      </c>
      <c r="AA55">
        <v>198</v>
      </c>
    </row>
    <row r="56" spans="21:28" x14ac:dyDescent="0.25">
      <c r="V56" s="266">
        <v>960</v>
      </c>
      <c r="W56" s="265">
        <v>59200</v>
      </c>
      <c r="X56">
        <v>2000</v>
      </c>
      <c r="Y56" s="111">
        <v>61200</v>
      </c>
      <c r="Z56">
        <v>73</v>
      </c>
      <c r="AA56">
        <v>220</v>
      </c>
    </row>
    <row r="57" spans="21:28" x14ac:dyDescent="0.25">
      <c r="V57" s="267">
        <v>1034</v>
      </c>
      <c r="W57" s="265">
        <v>61700</v>
      </c>
      <c r="X57">
        <v>2000</v>
      </c>
      <c r="Y57" s="111">
        <v>63700</v>
      </c>
      <c r="Z57">
        <v>76</v>
      </c>
      <c r="AA57">
        <v>229</v>
      </c>
    </row>
    <row r="58" spans="21:28" x14ac:dyDescent="0.25">
      <c r="V58" s="267">
        <v>1100</v>
      </c>
      <c r="W58" s="265">
        <v>65900</v>
      </c>
      <c r="X58">
        <v>2000</v>
      </c>
      <c r="Y58" s="111">
        <v>67900</v>
      </c>
      <c r="Z58">
        <v>81</v>
      </c>
      <c r="AA58">
        <v>244</v>
      </c>
    </row>
    <row r="59" spans="21:28" x14ac:dyDescent="0.25">
      <c r="V59" s="267">
        <v>1300</v>
      </c>
      <c r="W59" s="265">
        <v>65900</v>
      </c>
      <c r="X59">
        <v>2000</v>
      </c>
      <c r="Y59" s="111">
        <v>67900</v>
      </c>
      <c r="Z59">
        <v>81</v>
      </c>
      <c r="AA59">
        <v>244</v>
      </c>
    </row>
    <row r="60" spans="21:28" x14ac:dyDescent="0.25">
      <c r="V60" s="267"/>
      <c r="W60" s="265"/>
      <c r="Y60" s="111"/>
      <c r="Z60"/>
      <c r="AA60"/>
    </row>
    <row r="61" spans="21:28" x14ac:dyDescent="0.25">
      <c r="U61" s="121" t="s">
        <v>384</v>
      </c>
      <c r="W61" t="s">
        <v>392</v>
      </c>
      <c r="X61" t="s">
        <v>393</v>
      </c>
      <c r="Y61" t="s">
        <v>406</v>
      </c>
      <c r="Z61" t="s">
        <v>407</v>
      </c>
      <c r="AA61" t="s">
        <v>408</v>
      </c>
      <c r="AB61"/>
    </row>
    <row r="62" spans="21:28" x14ac:dyDescent="0.25">
      <c r="U62" s="121" t="s">
        <v>381</v>
      </c>
      <c r="V62" t="s">
        <v>423</v>
      </c>
      <c r="W62">
        <v>24000</v>
      </c>
      <c r="X62">
        <v>0</v>
      </c>
      <c r="Y62">
        <v>24000</v>
      </c>
      <c r="Z62">
        <v>20733</v>
      </c>
      <c r="AA62">
        <v>44733</v>
      </c>
      <c r="AB62"/>
    </row>
    <row r="63" spans="21:28" x14ac:dyDescent="0.25">
      <c r="U63" s="121"/>
      <c r="V63" t="s">
        <v>424</v>
      </c>
      <c r="W63">
        <v>24000</v>
      </c>
      <c r="X63">
        <v>0</v>
      </c>
      <c r="Y63">
        <v>24000</v>
      </c>
      <c r="Z63">
        <v>18769</v>
      </c>
      <c r="AA63">
        <v>42769</v>
      </c>
      <c r="AB63"/>
    </row>
    <row r="64" spans="21:28" x14ac:dyDescent="0.25">
      <c r="U64" s="121"/>
      <c r="V64" t="s">
        <v>425</v>
      </c>
      <c r="W64">
        <v>24000</v>
      </c>
      <c r="X64">
        <v>0</v>
      </c>
      <c r="Y64">
        <v>24000</v>
      </c>
      <c r="Z64">
        <v>18496</v>
      </c>
      <c r="AA64">
        <v>42496</v>
      </c>
      <c r="AB64"/>
    </row>
    <row r="65" spans="22:39" x14ac:dyDescent="0.25">
      <c r="V65" s="267"/>
      <c r="W65" s="265"/>
      <c r="Y65" s="111"/>
      <c r="Z65"/>
      <c r="AA65"/>
    </row>
    <row r="66" spans="22:39" x14ac:dyDescent="0.25">
      <c r="V66" s="267"/>
      <c r="W66" s="265"/>
      <c r="Y66" s="111"/>
      <c r="Z66"/>
      <c r="AA66"/>
    </row>
    <row r="67" spans="22:39" x14ac:dyDescent="0.25">
      <c r="V67" s="267"/>
      <c r="W67" s="265"/>
      <c r="Y67" s="111"/>
      <c r="Z67"/>
      <c r="AA67"/>
    </row>
    <row r="68" spans="22:39" x14ac:dyDescent="0.25">
      <c r="V68" s="267">
        <v>1500</v>
      </c>
      <c r="W68" s="265">
        <v>70600</v>
      </c>
      <c r="X68">
        <v>2000</v>
      </c>
      <c r="Y68" s="111">
        <v>72600</v>
      </c>
      <c r="Z68">
        <v>87</v>
      </c>
      <c r="AA68">
        <v>261</v>
      </c>
    </row>
    <row r="69" spans="22:39" x14ac:dyDescent="0.25">
      <c r="V69" s="266"/>
      <c r="Z69"/>
      <c r="AA69"/>
      <c r="AB69"/>
      <c r="AC69"/>
    </row>
    <row r="70" spans="22:39" x14ac:dyDescent="0.25">
      <c r="W70" t="s">
        <v>392</v>
      </c>
      <c r="X70" t="s">
        <v>393</v>
      </c>
      <c r="Y70" t="s">
        <v>395</v>
      </c>
      <c r="Z70" s="121" t="s">
        <v>396</v>
      </c>
      <c r="AA70" s="121" t="s">
        <v>397</v>
      </c>
      <c r="AB70" s="121" t="s">
        <v>398</v>
      </c>
      <c r="AC70" s="121" t="s">
        <v>399</v>
      </c>
      <c r="AD70" t="s">
        <v>400</v>
      </c>
      <c r="AE70" t="s">
        <v>401</v>
      </c>
      <c r="AF70" t="s">
        <v>402</v>
      </c>
      <c r="AG70" t="s">
        <v>403</v>
      </c>
      <c r="AH70" t="s">
        <v>404</v>
      </c>
      <c r="AI70" t="s">
        <v>405</v>
      </c>
      <c r="AJ70" t="s">
        <v>406</v>
      </c>
      <c r="AK70" t="s">
        <v>407</v>
      </c>
      <c r="AL70" t="s">
        <v>408</v>
      </c>
      <c r="AM70" t="s">
        <v>409</v>
      </c>
    </row>
    <row r="71" spans="22:39" x14ac:dyDescent="0.25">
      <c r="V71" t="s">
        <v>385</v>
      </c>
      <c r="W71">
        <v>109753</v>
      </c>
      <c r="X71" t="s">
        <v>394</v>
      </c>
      <c r="Y71">
        <v>1358</v>
      </c>
      <c r="Z71" s="121">
        <v>7534</v>
      </c>
      <c r="AA71" s="121">
        <v>2892</v>
      </c>
      <c r="AB71" s="121">
        <v>1013</v>
      </c>
      <c r="AC71" s="121">
        <v>7</v>
      </c>
      <c r="AD71">
        <v>2927</v>
      </c>
      <c r="AE71">
        <v>28601</v>
      </c>
      <c r="AF71">
        <v>889</v>
      </c>
      <c r="AG71">
        <v>719</v>
      </c>
      <c r="AH71">
        <v>4664</v>
      </c>
      <c r="AI71">
        <v>53047</v>
      </c>
      <c r="AJ71">
        <v>6102</v>
      </c>
      <c r="AK71">
        <v>43105</v>
      </c>
      <c r="AL71">
        <v>152858</v>
      </c>
    </row>
    <row r="72" spans="22:39" x14ac:dyDescent="0.25">
      <c r="V72" t="s">
        <v>386</v>
      </c>
      <c r="W72">
        <v>36477</v>
      </c>
      <c r="X72" t="s">
        <v>394</v>
      </c>
      <c r="Y72">
        <v>1696</v>
      </c>
      <c r="Z72" s="121">
        <v>6333</v>
      </c>
      <c r="AA72" s="121">
        <v>2852</v>
      </c>
      <c r="AB72" s="121">
        <v>1045</v>
      </c>
      <c r="AC72" s="121">
        <v>6</v>
      </c>
      <c r="AD72">
        <v>1823</v>
      </c>
      <c r="AE72">
        <v>11471</v>
      </c>
      <c r="AF72">
        <v>482</v>
      </c>
      <c r="AG72">
        <v>578</v>
      </c>
      <c r="AH72">
        <v>624</v>
      </c>
      <c r="AI72">
        <v>6864</v>
      </c>
      <c r="AJ72">
        <v>2703</v>
      </c>
      <c r="AK72">
        <v>43667</v>
      </c>
      <c r="AL72">
        <v>80144</v>
      </c>
    </row>
    <row r="73" spans="22:39" x14ac:dyDescent="0.25">
      <c r="V73" t="s">
        <v>387</v>
      </c>
      <c r="W73">
        <v>46674</v>
      </c>
      <c r="X73" t="s">
        <v>394</v>
      </c>
      <c r="Y73">
        <v>1849</v>
      </c>
      <c r="Z73" s="121">
        <v>7397</v>
      </c>
      <c r="AA73" s="121">
        <v>2977</v>
      </c>
      <c r="AB73" s="121">
        <v>1053</v>
      </c>
      <c r="AC73" s="121">
        <v>6</v>
      </c>
      <c r="AD73">
        <v>3232</v>
      </c>
      <c r="AE73">
        <v>17087</v>
      </c>
      <c r="AF73">
        <v>1018</v>
      </c>
      <c r="AG73">
        <v>1618</v>
      </c>
      <c r="AH73">
        <v>950</v>
      </c>
      <c r="AI73">
        <v>6311</v>
      </c>
      <c r="AJ73">
        <v>3176</v>
      </c>
      <c r="AK73">
        <v>43425</v>
      </c>
      <c r="AL73">
        <v>90099</v>
      </c>
    </row>
    <row r="74" spans="22:39" x14ac:dyDescent="0.25">
      <c r="V74" t="s">
        <v>388</v>
      </c>
      <c r="W74">
        <v>45661</v>
      </c>
      <c r="X74" t="s">
        <v>394</v>
      </c>
      <c r="Y74">
        <v>2607</v>
      </c>
      <c r="Z74" s="121">
        <v>7494</v>
      </c>
      <c r="AA74" s="121">
        <v>3067</v>
      </c>
      <c r="AB74" s="121">
        <v>1566</v>
      </c>
      <c r="AC74" s="121">
        <v>8</v>
      </c>
      <c r="AD74">
        <v>2506</v>
      </c>
      <c r="AE74">
        <v>15278</v>
      </c>
      <c r="AF74">
        <v>1712</v>
      </c>
      <c r="AG74">
        <v>1209</v>
      </c>
      <c r="AH74">
        <v>1242</v>
      </c>
      <c r="AI74">
        <v>6197</v>
      </c>
      <c r="AJ74">
        <v>2775</v>
      </c>
      <c r="AK74">
        <v>44217</v>
      </c>
      <c r="AL74">
        <v>89878</v>
      </c>
    </row>
    <row r="75" spans="22:39" x14ac:dyDescent="0.25">
      <c r="V75" t="s">
        <v>389</v>
      </c>
      <c r="W75">
        <v>56358</v>
      </c>
      <c r="X75" t="s">
        <v>394</v>
      </c>
      <c r="Y75">
        <v>8704</v>
      </c>
      <c r="Z75" s="121">
        <v>7742</v>
      </c>
      <c r="AA75" s="121">
        <v>3227</v>
      </c>
      <c r="AB75" s="121">
        <v>1871</v>
      </c>
      <c r="AC75" s="121">
        <v>8</v>
      </c>
      <c r="AD75">
        <v>2471</v>
      </c>
      <c r="AE75">
        <v>16567</v>
      </c>
      <c r="AF75">
        <v>4665</v>
      </c>
      <c r="AG75">
        <v>1022</v>
      </c>
      <c r="AH75">
        <v>952</v>
      </c>
      <c r="AI75">
        <v>5780</v>
      </c>
      <c r="AJ75">
        <v>3349</v>
      </c>
      <c r="AK75">
        <v>43927</v>
      </c>
      <c r="AL75">
        <v>100285</v>
      </c>
    </row>
    <row r="76" spans="22:39" x14ac:dyDescent="0.25">
      <c r="V76" t="s">
        <v>390</v>
      </c>
      <c r="W76">
        <v>84511</v>
      </c>
      <c r="X76" t="s">
        <v>394</v>
      </c>
      <c r="Y76">
        <v>25003</v>
      </c>
      <c r="Z76" s="121">
        <v>8934</v>
      </c>
      <c r="AA76" s="121">
        <v>3322</v>
      </c>
      <c r="AB76" s="121">
        <v>2914</v>
      </c>
      <c r="AC76" s="121">
        <v>48</v>
      </c>
      <c r="AD76">
        <v>2332</v>
      </c>
      <c r="AE76">
        <v>14079</v>
      </c>
      <c r="AF76">
        <v>3368</v>
      </c>
      <c r="AG76">
        <v>3155</v>
      </c>
      <c r="AH76">
        <v>6893</v>
      </c>
      <c r="AI76">
        <v>7533</v>
      </c>
      <c r="AJ76">
        <v>6930</v>
      </c>
      <c r="AK76">
        <v>43995</v>
      </c>
      <c r="AL76">
        <v>128506</v>
      </c>
    </row>
    <row r="77" spans="22:39" x14ac:dyDescent="0.25">
      <c r="V77" t="s">
        <v>391</v>
      </c>
      <c r="W77">
        <v>379434</v>
      </c>
      <c r="X77">
        <v>0</v>
      </c>
      <c r="Y77">
        <v>41217</v>
      </c>
      <c r="Z77" s="121">
        <v>45434</v>
      </c>
      <c r="AA77" s="121">
        <v>18337</v>
      </c>
      <c r="AB77" s="121">
        <v>9462</v>
      </c>
      <c r="AC77" s="121">
        <v>83</v>
      </c>
      <c r="AD77">
        <v>15291</v>
      </c>
      <c r="AE77">
        <v>103083</v>
      </c>
      <c r="AF77">
        <v>12134</v>
      </c>
      <c r="AG77">
        <v>8301</v>
      </c>
      <c r="AH77">
        <v>15325</v>
      </c>
      <c r="AI77">
        <v>85732</v>
      </c>
      <c r="AJ77">
        <v>25035</v>
      </c>
      <c r="AK77">
        <v>262336</v>
      </c>
      <c r="AL77">
        <v>641770</v>
      </c>
    </row>
    <row r="81" spans="21:46" x14ac:dyDescent="0.25">
      <c r="U81" t="s">
        <v>384</v>
      </c>
      <c r="W81" t="s">
        <v>392</v>
      </c>
      <c r="X81" t="s">
        <v>393</v>
      </c>
      <c r="Y81" t="s">
        <v>415</v>
      </c>
      <c r="Z81" t="s">
        <v>416</v>
      </c>
      <c r="AA81" t="s">
        <v>397</v>
      </c>
      <c r="AB81" t="s">
        <v>398</v>
      </c>
      <c r="AC81" t="s">
        <v>399</v>
      </c>
      <c r="AD81" t="s">
        <v>400</v>
      </c>
      <c r="AE81" t="s">
        <v>417</v>
      </c>
      <c r="AF81" t="s">
        <v>402</v>
      </c>
      <c r="AG81" t="s">
        <v>403</v>
      </c>
      <c r="AH81" t="s">
        <v>404</v>
      </c>
      <c r="AI81" t="s">
        <v>405</v>
      </c>
      <c r="AJ81" t="s">
        <v>406</v>
      </c>
      <c r="AK81" t="s">
        <v>407</v>
      </c>
      <c r="AL81" t="s">
        <v>408</v>
      </c>
      <c r="AT81" t="s">
        <v>418</v>
      </c>
    </row>
    <row r="82" spans="21:46" x14ac:dyDescent="0.25">
      <c r="U82" t="s">
        <v>410</v>
      </c>
      <c r="V82" t="s">
        <v>385</v>
      </c>
      <c r="W82" s="111">
        <v>194599</v>
      </c>
      <c r="X82" t="s">
        <v>394</v>
      </c>
      <c r="Y82" s="111">
        <v>9440</v>
      </c>
      <c r="Z82" s="111">
        <v>6943</v>
      </c>
      <c r="AA82" s="111">
        <v>3791</v>
      </c>
      <c r="AB82" s="111">
        <v>5435</v>
      </c>
      <c r="AC82">
        <v>41</v>
      </c>
      <c r="AD82" s="111">
        <v>7017</v>
      </c>
      <c r="AE82" s="111">
        <v>33705</v>
      </c>
      <c r="AF82" s="111">
        <v>41826</v>
      </c>
      <c r="AG82" s="111">
        <v>17775</v>
      </c>
      <c r="AH82" s="111">
        <v>47821</v>
      </c>
      <c r="AI82" s="111">
        <v>17238</v>
      </c>
      <c r="AJ82" s="111">
        <v>3567</v>
      </c>
      <c r="AK82" s="111">
        <v>43786</v>
      </c>
      <c r="AL82" s="111">
        <v>238385</v>
      </c>
    </row>
    <row r="83" spans="21:46" x14ac:dyDescent="0.25">
      <c r="V83" t="s">
        <v>386</v>
      </c>
      <c r="W83" s="111">
        <v>105365</v>
      </c>
      <c r="X83" t="s">
        <v>394</v>
      </c>
      <c r="Y83" s="111">
        <v>18164</v>
      </c>
      <c r="Z83" s="111">
        <v>6277</v>
      </c>
      <c r="AA83" s="111">
        <v>3852</v>
      </c>
      <c r="AB83" s="111">
        <v>5801</v>
      </c>
      <c r="AC83">
        <v>37</v>
      </c>
      <c r="AD83" s="111">
        <v>4806</v>
      </c>
      <c r="AE83" s="111">
        <v>14723</v>
      </c>
      <c r="AF83" s="111">
        <v>32435</v>
      </c>
      <c r="AG83" s="111">
        <v>4193</v>
      </c>
      <c r="AH83" s="111">
        <v>5285</v>
      </c>
      <c r="AI83" s="111">
        <v>7521</v>
      </c>
      <c r="AJ83" s="111">
        <v>2271</v>
      </c>
      <c r="AK83" s="111">
        <v>43305</v>
      </c>
      <c r="AL83" s="111">
        <v>148670</v>
      </c>
    </row>
    <row r="84" spans="21:46" x14ac:dyDescent="0.25">
      <c r="V84" t="s">
        <v>387</v>
      </c>
      <c r="W84" s="111">
        <v>119360</v>
      </c>
      <c r="X84" t="s">
        <v>394</v>
      </c>
      <c r="Y84" s="111">
        <v>49884</v>
      </c>
      <c r="Z84" s="111">
        <v>7275</v>
      </c>
      <c r="AA84" s="111">
        <v>3941</v>
      </c>
      <c r="AB84" s="111">
        <v>6741</v>
      </c>
      <c r="AC84">
        <v>89</v>
      </c>
      <c r="AD84" s="111">
        <v>5785</v>
      </c>
      <c r="AE84" s="111">
        <v>10954</v>
      </c>
      <c r="AF84" s="111">
        <v>14464</v>
      </c>
      <c r="AG84" s="111">
        <v>3709</v>
      </c>
      <c r="AH84" s="111">
        <v>5313</v>
      </c>
      <c r="AI84" s="111">
        <v>6280</v>
      </c>
      <c r="AJ84" s="111">
        <v>4925</v>
      </c>
      <c r="AK84" s="111">
        <v>41801</v>
      </c>
      <c r="AL84" s="111">
        <v>161161</v>
      </c>
    </row>
    <row r="85" spans="21:46" x14ac:dyDescent="0.25">
      <c r="V85" t="s">
        <v>411</v>
      </c>
      <c r="W85" s="111">
        <v>419324</v>
      </c>
      <c r="X85">
        <v>0</v>
      </c>
      <c r="Y85" s="111">
        <v>77488</v>
      </c>
      <c r="Z85" s="111">
        <v>20495</v>
      </c>
      <c r="AA85" s="111">
        <v>11584</v>
      </c>
      <c r="AB85" s="111">
        <v>17977</v>
      </c>
      <c r="AC85">
        <v>167</v>
      </c>
      <c r="AD85" s="111">
        <v>17608</v>
      </c>
      <c r="AE85" s="111">
        <v>59382</v>
      </c>
      <c r="AF85" s="111">
        <v>88725</v>
      </c>
      <c r="AG85" s="111">
        <v>25677</v>
      </c>
      <c r="AH85" s="111">
        <v>58419</v>
      </c>
      <c r="AI85" s="111">
        <v>31039</v>
      </c>
      <c r="AJ85" s="111">
        <v>10763</v>
      </c>
      <c r="AK85" s="111">
        <v>128892</v>
      </c>
      <c r="AL85" s="111">
        <v>548216</v>
      </c>
    </row>
    <row r="86" spans="21:46" x14ac:dyDescent="0.25">
      <c r="W86" s="111"/>
      <c r="Z86"/>
      <c r="AA86"/>
      <c r="AB86"/>
      <c r="AC86"/>
      <c r="AE86" s="111"/>
      <c r="AF86" s="111"/>
      <c r="AG86" s="111"/>
      <c r="AH86" s="111"/>
      <c r="AI86" s="111"/>
      <c r="AK86" s="111"/>
      <c r="AL86" s="111"/>
    </row>
    <row r="87" spans="21:46" x14ac:dyDescent="0.25">
      <c r="W87" s="111"/>
      <c r="Y87" s="111"/>
      <c r="Z87"/>
      <c r="AA87"/>
      <c r="AB87"/>
      <c r="AC87"/>
      <c r="AE87" s="111"/>
      <c r="AF87" s="111"/>
      <c r="AK87" s="111"/>
      <c r="AL87" s="111"/>
    </row>
    <row r="88" spans="21:46" x14ac:dyDescent="0.25">
      <c r="U88" t="s">
        <v>384</v>
      </c>
      <c r="W88" s="111" t="s">
        <v>392</v>
      </c>
      <c r="X88" t="s">
        <v>393</v>
      </c>
      <c r="Y88" s="111" t="s">
        <v>395</v>
      </c>
      <c r="Z88" t="s">
        <v>396</v>
      </c>
      <c r="AA88" t="s">
        <v>397</v>
      </c>
      <c r="AB88" t="s">
        <v>398</v>
      </c>
      <c r="AC88" t="s">
        <v>399</v>
      </c>
      <c r="AD88" t="s">
        <v>400</v>
      </c>
      <c r="AE88" t="s">
        <v>401</v>
      </c>
      <c r="AF88" t="s">
        <v>402</v>
      </c>
      <c r="AG88" t="s">
        <v>403</v>
      </c>
      <c r="AH88" t="s">
        <v>404</v>
      </c>
      <c r="AI88" t="s">
        <v>405</v>
      </c>
      <c r="AJ88" t="s">
        <v>406</v>
      </c>
      <c r="AK88" s="111" t="s">
        <v>407</v>
      </c>
      <c r="AL88" s="111" t="s">
        <v>408</v>
      </c>
    </row>
    <row r="89" spans="21:46" x14ac:dyDescent="0.25">
      <c r="U89" t="s">
        <v>410</v>
      </c>
      <c r="V89" t="s">
        <v>385</v>
      </c>
      <c r="W89" s="111">
        <v>370374</v>
      </c>
      <c r="X89">
        <v>26010</v>
      </c>
      <c r="Y89" s="111">
        <v>14511</v>
      </c>
      <c r="Z89" s="111">
        <v>23275</v>
      </c>
      <c r="AA89">
        <v>7360</v>
      </c>
      <c r="AB89" s="111">
        <v>32794</v>
      </c>
      <c r="AC89">
        <v>297</v>
      </c>
      <c r="AD89" s="111">
        <v>34550</v>
      </c>
      <c r="AE89" s="111">
        <v>35903</v>
      </c>
      <c r="AF89" s="111">
        <v>62805</v>
      </c>
      <c r="AG89" s="111">
        <v>54837</v>
      </c>
      <c r="AH89" s="111">
        <v>55516</v>
      </c>
      <c r="AI89" s="111">
        <v>17916</v>
      </c>
      <c r="AJ89">
        <v>4600</v>
      </c>
      <c r="AK89" s="111" t="s">
        <v>394</v>
      </c>
      <c r="AL89" s="111">
        <v>370374</v>
      </c>
    </row>
    <row r="90" spans="21:46" x14ac:dyDescent="0.25">
      <c r="V90" t="s">
        <v>386</v>
      </c>
      <c r="W90">
        <v>299848</v>
      </c>
      <c r="X90">
        <v>25032</v>
      </c>
      <c r="Y90">
        <v>89523</v>
      </c>
      <c r="Z90" s="121">
        <v>17762</v>
      </c>
      <c r="AA90" s="121">
        <v>6783</v>
      </c>
      <c r="AB90" s="121">
        <v>24899</v>
      </c>
      <c r="AC90" s="121">
        <v>120</v>
      </c>
      <c r="AD90">
        <v>20065</v>
      </c>
      <c r="AE90">
        <v>12378</v>
      </c>
      <c r="AF90">
        <v>41681</v>
      </c>
      <c r="AG90">
        <v>42417</v>
      </c>
      <c r="AH90">
        <v>8304</v>
      </c>
      <c r="AI90">
        <v>8926</v>
      </c>
      <c r="AJ90">
        <v>1958</v>
      </c>
      <c r="AK90" t="s">
        <v>394</v>
      </c>
      <c r="AL90">
        <v>299848</v>
      </c>
    </row>
    <row r="91" spans="21:46" x14ac:dyDescent="0.25">
      <c r="V91" t="s">
        <v>387</v>
      </c>
      <c r="W91">
        <v>171000</v>
      </c>
      <c r="X91">
        <v>25094</v>
      </c>
      <c r="Y91">
        <v>2255</v>
      </c>
      <c r="Z91" s="121">
        <v>20137</v>
      </c>
      <c r="AA91" s="121">
        <v>6824</v>
      </c>
      <c r="AB91" s="121">
        <v>25639</v>
      </c>
      <c r="AC91" s="121">
        <v>227</v>
      </c>
      <c r="AD91">
        <v>12692</v>
      </c>
      <c r="AE91">
        <v>8240</v>
      </c>
      <c r="AF91">
        <v>16768</v>
      </c>
      <c r="AG91">
        <v>40366</v>
      </c>
      <c r="AH91">
        <v>4119</v>
      </c>
      <c r="AI91">
        <v>6030</v>
      </c>
      <c r="AJ91">
        <v>2609</v>
      </c>
      <c r="AK91" t="s">
        <v>394</v>
      </c>
      <c r="AL91">
        <v>171000</v>
      </c>
    </row>
    <row r="92" spans="21:46" x14ac:dyDescent="0.25">
      <c r="V92" t="s">
        <v>391</v>
      </c>
      <c r="W92">
        <v>841222</v>
      </c>
      <c r="X92">
        <v>76136</v>
      </c>
      <c r="Y92">
        <v>106289</v>
      </c>
      <c r="Z92" s="121">
        <v>61174</v>
      </c>
      <c r="AA92" s="121">
        <v>20967</v>
      </c>
      <c r="AB92" s="121">
        <v>83332</v>
      </c>
      <c r="AC92" s="121">
        <v>644</v>
      </c>
      <c r="AD92">
        <v>67307</v>
      </c>
      <c r="AE92">
        <v>56521</v>
      </c>
      <c r="AF92">
        <v>121254</v>
      </c>
      <c r="AG92">
        <v>137620</v>
      </c>
      <c r="AH92">
        <v>67939</v>
      </c>
      <c r="AI92">
        <v>32872</v>
      </c>
      <c r="AJ92">
        <v>9167</v>
      </c>
      <c r="AK92">
        <v>0</v>
      </c>
      <c r="AL92">
        <v>841222</v>
      </c>
    </row>
    <row r="101" spans="9:20" x14ac:dyDescent="0.25">
      <c r="I101" t="s">
        <v>384</v>
      </c>
      <c r="J101" t="s">
        <v>410</v>
      </c>
      <c r="P101" t="s">
        <v>380</v>
      </c>
    </row>
    <row r="102" spans="9:20" x14ac:dyDescent="0.25">
      <c r="J102" t="s">
        <v>385</v>
      </c>
      <c r="L102" t="s">
        <v>386</v>
      </c>
      <c r="M102" t="s">
        <v>387</v>
      </c>
      <c r="N102" t="s">
        <v>411</v>
      </c>
      <c r="P102" t="s">
        <v>412</v>
      </c>
      <c r="Q102" t="s">
        <v>413</v>
      </c>
      <c r="R102" t="s">
        <v>414</v>
      </c>
      <c r="T102" t="s">
        <v>391</v>
      </c>
    </row>
    <row r="103" spans="9:20" x14ac:dyDescent="0.25">
      <c r="I103" t="s">
        <v>392</v>
      </c>
      <c r="J103">
        <v>194599</v>
      </c>
      <c r="L103">
        <v>105365</v>
      </c>
      <c r="M103">
        <v>119360</v>
      </c>
      <c r="N103">
        <v>419324</v>
      </c>
      <c r="P103">
        <v>16217</v>
      </c>
      <c r="Q103">
        <v>8780</v>
      </c>
      <c r="R103">
        <v>9947</v>
      </c>
      <c r="T103" s="111">
        <v>34944</v>
      </c>
    </row>
    <row r="104" spans="9:20" x14ac:dyDescent="0.25">
      <c r="I104" t="s">
        <v>393</v>
      </c>
      <c r="J104" t="s">
        <v>394</v>
      </c>
      <c r="L104" t="s">
        <v>394</v>
      </c>
      <c r="M104" t="s">
        <v>394</v>
      </c>
      <c r="N104">
        <v>0</v>
      </c>
      <c r="P104">
        <v>0</v>
      </c>
      <c r="Q104">
        <v>0</v>
      </c>
      <c r="R104">
        <v>0</v>
      </c>
      <c r="T104">
        <v>0</v>
      </c>
    </row>
    <row r="105" spans="9:20" x14ac:dyDescent="0.25">
      <c r="I105" t="s">
        <v>415</v>
      </c>
      <c r="J105">
        <v>9440</v>
      </c>
      <c r="L105">
        <v>18164</v>
      </c>
      <c r="M105">
        <v>49884</v>
      </c>
      <c r="N105">
        <v>77488</v>
      </c>
      <c r="P105">
        <v>787</v>
      </c>
      <c r="Q105">
        <v>1514</v>
      </c>
      <c r="R105">
        <v>4157</v>
      </c>
      <c r="T105" s="111">
        <v>6457</v>
      </c>
    </row>
    <row r="106" spans="9:20" x14ac:dyDescent="0.25">
      <c r="I106" t="s">
        <v>416</v>
      </c>
      <c r="J106">
        <v>6943</v>
      </c>
      <c r="L106">
        <v>6277</v>
      </c>
      <c r="M106">
        <v>7275</v>
      </c>
      <c r="N106">
        <v>20495</v>
      </c>
      <c r="P106">
        <v>579</v>
      </c>
      <c r="Q106">
        <v>523</v>
      </c>
      <c r="R106">
        <v>606</v>
      </c>
      <c r="T106" s="111">
        <v>1708</v>
      </c>
    </row>
    <row r="107" spans="9:20" x14ac:dyDescent="0.25">
      <c r="I107" t="s">
        <v>397</v>
      </c>
      <c r="J107">
        <v>3791</v>
      </c>
      <c r="L107">
        <v>3852</v>
      </c>
      <c r="M107">
        <v>3941</v>
      </c>
      <c r="N107">
        <v>11584</v>
      </c>
      <c r="P107">
        <v>316</v>
      </c>
      <c r="Q107">
        <v>321</v>
      </c>
      <c r="R107">
        <v>328</v>
      </c>
      <c r="T107">
        <v>965</v>
      </c>
    </row>
    <row r="108" spans="9:20" x14ac:dyDescent="0.25">
      <c r="I108" t="s">
        <v>398</v>
      </c>
      <c r="J108">
        <v>5435</v>
      </c>
      <c r="L108">
        <v>5801</v>
      </c>
      <c r="M108">
        <v>6741</v>
      </c>
      <c r="N108">
        <v>17977</v>
      </c>
      <c r="P108">
        <v>453</v>
      </c>
      <c r="Q108">
        <v>483</v>
      </c>
      <c r="R108">
        <v>562</v>
      </c>
      <c r="T108" s="111">
        <v>1498</v>
      </c>
    </row>
    <row r="109" spans="9:20" x14ac:dyDescent="0.25">
      <c r="I109" t="s">
        <v>399</v>
      </c>
      <c r="J109">
        <v>41</v>
      </c>
      <c r="L109">
        <v>37</v>
      </c>
      <c r="M109">
        <v>89</v>
      </c>
      <c r="N109">
        <v>167</v>
      </c>
      <c r="P109">
        <v>3</v>
      </c>
      <c r="Q109">
        <v>3</v>
      </c>
      <c r="R109">
        <v>7</v>
      </c>
      <c r="T109">
        <v>14</v>
      </c>
    </row>
    <row r="110" spans="9:20" x14ac:dyDescent="0.25">
      <c r="I110" t="s">
        <v>400</v>
      </c>
      <c r="J110">
        <v>7017</v>
      </c>
      <c r="L110">
        <v>4806</v>
      </c>
      <c r="M110">
        <v>5785</v>
      </c>
      <c r="N110">
        <v>17608</v>
      </c>
      <c r="P110">
        <v>585</v>
      </c>
      <c r="Q110">
        <v>401</v>
      </c>
      <c r="R110">
        <v>482</v>
      </c>
      <c r="T110" s="111">
        <v>1467</v>
      </c>
    </row>
    <row r="111" spans="9:20" x14ac:dyDescent="0.25">
      <c r="I111" t="s">
        <v>417</v>
      </c>
      <c r="J111">
        <v>33705</v>
      </c>
      <c r="L111">
        <v>14723</v>
      </c>
      <c r="M111">
        <v>10954</v>
      </c>
      <c r="N111">
        <v>59382</v>
      </c>
      <c r="P111">
        <v>2809</v>
      </c>
      <c r="Q111">
        <v>1227</v>
      </c>
      <c r="R111">
        <v>913</v>
      </c>
      <c r="T111" s="111">
        <v>4949</v>
      </c>
    </row>
    <row r="112" spans="9:20" x14ac:dyDescent="0.25">
      <c r="I112" t="s">
        <v>402</v>
      </c>
      <c r="J112">
        <v>41826</v>
      </c>
      <c r="L112">
        <v>32435</v>
      </c>
      <c r="M112">
        <v>14464</v>
      </c>
      <c r="N112">
        <v>88725</v>
      </c>
      <c r="P112">
        <v>3486</v>
      </c>
      <c r="Q112">
        <v>2703</v>
      </c>
      <c r="R112">
        <v>1205</v>
      </c>
      <c r="T112" s="111">
        <v>7394</v>
      </c>
    </row>
    <row r="113" spans="9:20" x14ac:dyDescent="0.25">
      <c r="I113" t="s">
        <v>403</v>
      </c>
      <c r="J113">
        <v>17775</v>
      </c>
      <c r="L113">
        <v>4193</v>
      </c>
      <c r="M113">
        <v>3709</v>
      </c>
      <c r="N113">
        <v>25677</v>
      </c>
      <c r="P113">
        <v>1481</v>
      </c>
      <c r="Q113">
        <v>349</v>
      </c>
      <c r="R113">
        <v>309</v>
      </c>
      <c r="T113" s="111">
        <v>2140</v>
      </c>
    </row>
    <row r="114" spans="9:20" x14ac:dyDescent="0.25">
      <c r="I114" t="s">
        <v>404</v>
      </c>
      <c r="J114">
        <v>47821</v>
      </c>
      <c r="L114">
        <v>5285</v>
      </c>
      <c r="M114">
        <v>5313</v>
      </c>
      <c r="N114">
        <v>58419</v>
      </c>
      <c r="P114">
        <v>3985</v>
      </c>
      <c r="Q114">
        <v>440</v>
      </c>
      <c r="R114">
        <v>443</v>
      </c>
      <c r="T114" s="111">
        <v>4868</v>
      </c>
    </row>
    <row r="115" spans="9:20" x14ac:dyDescent="0.25">
      <c r="I115" t="s">
        <v>405</v>
      </c>
      <c r="J115">
        <v>17238</v>
      </c>
      <c r="L115">
        <v>7521</v>
      </c>
      <c r="M115">
        <v>6280</v>
      </c>
      <c r="N115">
        <v>31039</v>
      </c>
      <c r="P115">
        <v>1437</v>
      </c>
      <c r="Q115">
        <v>627</v>
      </c>
      <c r="R115">
        <v>523</v>
      </c>
      <c r="T115" s="111">
        <v>2587</v>
      </c>
    </row>
    <row r="116" spans="9:20" x14ac:dyDescent="0.25">
      <c r="I116" t="s">
        <v>406</v>
      </c>
      <c r="J116">
        <v>3567</v>
      </c>
      <c r="L116">
        <v>2271</v>
      </c>
      <c r="M116">
        <v>4925</v>
      </c>
      <c r="N116">
        <v>10763</v>
      </c>
      <c r="P116">
        <v>297</v>
      </c>
      <c r="Q116">
        <v>189</v>
      </c>
      <c r="R116">
        <v>410</v>
      </c>
      <c r="T116">
        <v>897</v>
      </c>
    </row>
    <row r="117" spans="9:20" x14ac:dyDescent="0.25">
      <c r="I117" t="s">
        <v>407</v>
      </c>
      <c r="J117">
        <v>43786</v>
      </c>
      <c r="L117">
        <v>43305</v>
      </c>
      <c r="M117">
        <v>41801</v>
      </c>
      <c r="N117">
        <v>128892</v>
      </c>
      <c r="P117">
        <v>3649</v>
      </c>
      <c r="Q117">
        <v>3609</v>
      </c>
      <c r="R117">
        <v>3483</v>
      </c>
      <c r="T117" s="111">
        <v>10741</v>
      </c>
    </row>
    <row r="118" spans="9:20" x14ac:dyDescent="0.25">
      <c r="I118" t="s">
        <v>408</v>
      </c>
      <c r="J118">
        <v>238385</v>
      </c>
      <c r="L118">
        <v>148670</v>
      </c>
      <c r="M118">
        <v>161161</v>
      </c>
      <c r="N118">
        <v>548216</v>
      </c>
      <c r="P118">
        <v>19865</v>
      </c>
      <c r="Q118">
        <v>12389</v>
      </c>
      <c r="R118">
        <v>13430</v>
      </c>
      <c r="T118" s="111">
        <v>45685</v>
      </c>
    </row>
    <row r="121" spans="9:20" x14ac:dyDescent="0.25">
      <c r="I121" t="s">
        <v>384</v>
      </c>
      <c r="J121" t="s">
        <v>410</v>
      </c>
      <c r="P121" t="s">
        <v>380</v>
      </c>
    </row>
    <row r="122" spans="9:20" x14ac:dyDescent="0.25">
      <c r="J122" t="s">
        <v>385</v>
      </c>
      <c r="L122" t="s">
        <v>386</v>
      </c>
      <c r="M122" t="s">
        <v>387</v>
      </c>
      <c r="N122" t="s">
        <v>391</v>
      </c>
      <c r="P122" t="s">
        <v>412</v>
      </c>
      <c r="Q122" t="s">
        <v>413</v>
      </c>
      <c r="R122" t="s">
        <v>414</v>
      </c>
      <c r="T122" t="s">
        <v>391</v>
      </c>
    </row>
    <row r="123" spans="9:20" x14ac:dyDescent="0.25">
      <c r="I123" t="s">
        <v>392</v>
      </c>
      <c r="J123">
        <v>370374</v>
      </c>
      <c r="L123">
        <v>299848</v>
      </c>
      <c r="M123">
        <v>171000</v>
      </c>
      <c r="N123">
        <v>841222</v>
      </c>
      <c r="P123">
        <v>30865</v>
      </c>
      <c r="Q123">
        <v>24987</v>
      </c>
      <c r="R123">
        <v>14250</v>
      </c>
      <c r="T123" s="111">
        <v>70102</v>
      </c>
    </row>
    <row r="124" spans="9:20" x14ac:dyDescent="0.25">
      <c r="I124" t="s">
        <v>393</v>
      </c>
      <c r="J124">
        <v>26010</v>
      </c>
      <c r="L124">
        <v>25032</v>
      </c>
      <c r="M124">
        <v>25094</v>
      </c>
      <c r="N124">
        <v>76136</v>
      </c>
      <c r="P124">
        <v>2168</v>
      </c>
      <c r="Q124">
        <v>2086</v>
      </c>
      <c r="R124">
        <v>2091</v>
      </c>
      <c r="T124" s="111">
        <v>6345</v>
      </c>
    </row>
    <row r="125" spans="9:20" x14ac:dyDescent="0.25">
      <c r="I125" t="s">
        <v>395</v>
      </c>
      <c r="J125">
        <v>14511</v>
      </c>
      <c r="L125">
        <v>89523</v>
      </c>
      <c r="M125">
        <v>2255</v>
      </c>
      <c r="N125">
        <v>106289</v>
      </c>
      <c r="P125">
        <v>1209</v>
      </c>
      <c r="Q125">
        <v>7460</v>
      </c>
      <c r="R125">
        <v>188</v>
      </c>
      <c r="T125" s="111">
        <v>8857</v>
      </c>
    </row>
    <row r="126" spans="9:20" x14ac:dyDescent="0.25">
      <c r="I126" t="s">
        <v>396</v>
      </c>
      <c r="J126">
        <v>23275</v>
      </c>
      <c r="L126">
        <v>17762</v>
      </c>
      <c r="M126">
        <v>20137</v>
      </c>
      <c r="N126">
        <v>61174</v>
      </c>
      <c r="P126">
        <v>1940</v>
      </c>
      <c r="Q126">
        <v>1480</v>
      </c>
      <c r="R126">
        <v>1678</v>
      </c>
      <c r="T126" s="111">
        <v>5098</v>
      </c>
    </row>
    <row r="127" spans="9:20" x14ac:dyDescent="0.25">
      <c r="I127" t="s">
        <v>397</v>
      </c>
      <c r="J127">
        <v>7360</v>
      </c>
      <c r="L127">
        <v>6783</v>
      </c>
      <c r="M127">
        <v>6824</v>
      </c>
      <c r="N127">
        <v>20967</v>
      </c>
      <c r="P127">
        <v>613</v>
      </c>
      <c r="Q127">
        <v>565</v>
      </c>
      <c r="R127">
        <v>569</v>
      </c>
      <c r="T127" s="111">
        <v>1747</v>
      </c>
    </row>
    <row r="128" spans="9:20" x14ac:dyDescent="0.25">
      <c r="I128" t="s">
        <v>398</v>
      </c>
      <c r="J128">
        <v>32794</v>
      </c>
      <c r="L128">
        <v>24899</v>
      </c>
      <c r="M128">
        <v>25639</v>
      </c>
      <c r="N128">
        <v>83332</v>
      </c>
      <c r="P128">
        <v>2733</v>
      </c>
      <c r="Q128">
        <v>2075</v>
      </c>
      <c r="R128">
        <v>2137</v>
      </c>
      <c r="T128" s="111">
        <v>6944</v>
      </c>
    </row>
    <row r="129" spans="9:20" x14ac:dyDescent="0.25">
      <c r="I129" t="s">
        <v>399</v>
      </c>
      <c r="J129">
        <v>297</v>
      </c>
      <c r="L129">
        <v>120</v>
      </c>
      <c r="M129">
        <v>227</v>
      </c>
      <c r="N129">
        <v>644</v>
      </c>
      <c r="P129">
        <v>25</v>
      </c>
      <c r="Q129">
        <v>10</v>
      </c>
      <c r="R129">
        <v>19</v>
      </c>
      <c r="T129">
        <v>54</v>
      </c>
    </row>
    <row r="130" spans="9:20" x14ac:dyDescent="0.25">
      <c r="I130" t="s">
        <v>400</v>
      </c>
      <c r="J130">
        <v>34550</v>
      </c>
      <c r="L130">
        <v>20065</v>
      </c>
      <c r="M130">
        <v>12692</v>
      </c>
      <c r="N130">
        <v>67307</v>
      </c>
      <c r="P130">
        <v>2879</v>
      </c>
      <c r="Q130">
        <v>1672</v>
      </c>
      <c r="R130">
        <v>1058</v>
      </c>
      <c r="T130" s="111">
        <v>5609</v>
      </c>
    </row>
    <row r="131" spans="9:20" x14ac:dyDescent="0.25">
      <c r="I131" t="s">
        <v>401</v>
      </c>
      <c r="J131">
        <v>35903</v>
      </c>
      <c r="L131">
        <v>12378</v>
      </c>
      <c r="M131">
        <v>8240</v>
      </c>
      <c r="N131">
        <v>56521</v>
      </c>
      <c r="P131">
        <v>2992</v>
      </c>
      <c r="Q131">
        <v>1032</v>
      </c>
      <c r="R131">
        <v>687</v>
      </c>
      <c r="T131" s="111">
        <v>4710</v>
      </c>
    </row>
    <row r="132" spans="9:20" x14ac:dyDescent="0.25">
      <c r="I132" t="s">
        <v>402</v>
      </c>
      <c r="J132">
        <v>62805</v>
      </c>
      <c r="L132">
        <v>41681</v>
      </c>
      <c r="M132">
        <v>16768</v>
      </c>
      <c r="N132">
        <v>121254</v>
      </c>
      <c r="P132">
        <v>5234</v>
      </c>
      <c r="Q132">
        <v>3473</v>
      </c>
      <c r="R132">
        <v>1397</v>
      </c>
      <c r="T132" s="111">
        <v>10105</v>
      </c>
    </row>
    <row r="133" spans="9:20" x14ac:dyDescent="0.25">
      <c r="I133" t="s">
        <v>403</v>
      </c>
      <c r="J133">
        <v>54837</v>
      </c>
      <c r="L133">
        <v>42417</v>
      </c>
      <c r="M133">
        <v>40366</v>
      </c>
      <c r="N133">
        <v>137620</v>
      </c>
      <c r="P133">
        <v>4570</v>
      </c>
      <c r="Q133">
        <v>3535</v>
      </c>
      <c r="R133">
        <v>3364</v>
      </c>
      <c r="T133" s="111">
        <v>11468</v>
      </c>
    </row>
    <row r="134" spans="9:20" x14ac:dyDescent="0.25">
      <c r="I134" t="s">
        <v>404</v>
      </c>
      <c r="J134">
        <v>55516</v>
      </c>
      <c r="L134">
        <v>8304</v>
      </c>
      <c r="M134">
        <v>4119</v>
      </c>
      <c r="N134">
        <v>67939</v>
      </c>
      <c r="P134">
        <v>4626</v>
      </c>
      <c r="Q134">
        <v>692</v>
      </c>
      <c r="R134">
        <v>343</v>
      </c>
      <c r="T134" s="111">
        <v>5662</v>
      </c>
    </row>
    <row r="135" spans="9:20" x14ac:dyDescent="0.25">
      <c r="I135" t="s">
        <v>405</v>
      </c>
      <c r="J135">
        <v>17916</v>
      </c>
      <c r="L135">
        <v>8926</v>
      </c>
      <c r="M135">
        <v>6030</v>
      </c>
      <c r="N135">
        <v>32872</v>
      </c>
      <c r="P135">
        <v>1493</v>
      </c>
      <c r="Q135">
        <v>744</v>
      </c>
      <c r="R135">
        <v>503</v>
      </c>
      <c r="T135" s="111">
        <v>2739</v>
      </c>
    </row>
    <row r="136" spans="9:20" x14ac:dyDescent="0.25">
      <c r="I136" t="s">
        <v>406</v>
      </c>
      <c r="J136">
        <v>4600</v>
      </c>
      <c r="L136">
        <v>1958</v>
      </c>
      <c r="M136">
        <v>2609</v>
      </c>
      <c r="N136">
        <v>9167</v>
      </c>
      <c r="P136">
        <v>383</v>
      </c>
      <c r="Q136">
        <v>163</v>
      </c>
      <c r="R136">
        <v>217</v>
      </c>
      <c r="T136">
        <v>764</v>
      </c>
    </row>
    <row r="137" spans="9:20" x14ac:dyDescent="0.25">
      <c r="I137" t="s">
        <v>407</v>
      </c>
      <c r="J137" t="s">
        <v>394</v>
      </c>
      <c r="L137" t="s">
        <v>394</v>
      </c>
      <c r="M137" t="s">
        <v>394</v>
      </c>
      <c r="N137">
        <v>0</v>
      </c>
      <c r="P137">
        <v>0</v>
      </c>
      <c r="Q137">
        <v>0</v>
      </c>
      <c r="R137">
        <v>0</v>
      </c>
      <c r="T137">
        <v>0</v>
      </c>
    </row>
    <row r="138" spans="9:20" x14ac:dyDescent="0.25">
      <c r="I138" t="s">
        <v>408</v>
      </c>
      <c r="J138">
        <v>370374</v>
      </c>
      <c r="L138">
        <v>299848</v>
      </c>
      <c r="M138">
        <v>171000</v>
      </c>
      <c r="N138">
        <v>841222</v>
      </c>
      <c r="P138">
        <v>30865</v>
      </c>
      <c r="Q138">
        <v>24987</v>
      </c>
      <c r="R138">
        <v>14250</v>
      </c>
      <c r="T138" s="111">
        <v>70102</v>
      </c>
    </row>
  </sheetData>
  <phoneticPr fontId="2"/>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theme="1" tint="0.34998626667073579"/>
  </sheetPr>
  <dimension ref="A1:AT212"/>
  <sheetViews>
    <sheetView topLeftCell="A4" zoomScale="81" zoomScaleNormal="81" workbookViewId="0">
      <selection activeCell="H23" sqref="H23"/>
    </sheetView>
  </sheetViews>
  <sheetFormatPr defaultRowHeight="14.25" x14ac:dyDescent="0.25"/>
  <cols>
    <col min="2" max="3" width="4.25" bestFit="1" customWidth="1"/>
    <col min="4" max="4" width="9.5" customWidth="1"/>
    <col min="5" max="6" width="9" style="1"/>
    <col min="8" max="11" width="6.875" bestFit="1" customWidth="1"/>
    <col min="16" max="16" width="8" style="1" bestFit="1" customWidth="1"/>
    <col min="17" max="17" width="2.75" customWidth="1"/>
    <col min="18" max="18" width="6.375" bestFit="1" customWidth="1"/>
    <col min="19" max="19" width="9.75" bestFit="1" customWidth="1"/>
    <col min="20" max="20" width="12.75" bestFit="1" customWidth="1"/>
    <col min="21" max="21" width="10" bestFit="1" customWidth="1"/>
    <col min="22" max="22" width="6.875" bestFit="1" customWidth="1"/>
    <col min="23" max="23" width="8.875" bestFit="1" customWidth="1"/>
    <col min="27" max="27" width="8" bestFit="1" customWidth="1"/>
    <col min="28" max="28" width="9" customWidth="1"/>
    <col min="29" max="29" width="10.125" bestFit="1" customWidth="1"/>
    <col min="30" max="30" width="8.125" bestFit="1" customWidth="1"/>
    <col min="31" max="31" width="6.875" bestFit="1" customWidth="1"/>
    <col min="32" max="32" width="6.5" bestFit="1" customWidth="1"/>
    <col min="33" max="33" width="6.375" bestFit="1" customWidth="1"/>
    <col min="34" max="34" width="6.875" bestFit="1" customWidth="1"/>
    <col min="35" max="35" width="6.375" bestFit="1" customWidth="1"/>
    <col min="36" max="36" width="6.875" bestFit="1" customWidth="1"/>
  </cols>
  <sheetData>
    <row r="1" spans="1:46" x14ac:dyDescent="0.25">
      <c r="R1" t="s">
        <v>202</v>
      </c>
    </row>
    <row r="2" spans="1:46" x14ac:dyDescent="0.25">
      <c r="R2" s="86" t="s">
        <v>180</v>
      </c>
      <c r="S2" s="86" t="s">
        <v>189</v>
      </c>
      <c r="T2" s="86" t="s">
        <v>195</v>
      </c>
      <c r="U2" s="86" t="s">
        <v>196</v>
      </c>
      <c r="V2" s="86" t="s">
        <v>197</v>
      </c>
      <c r="W2" s="138" t="s">
        <v>198</v>
      </c>
      <c r="AC2" s="86" t="s">
        <v>192</v>
      </c>
      <c r="AD2" s="86" t="s">
        <v>190</v>
      </c>
      <c r="AE2" s="86" t="s">
        <v>186</v>
      </c>
      <c r="AF2" s="86" t="s">
        <v>188</v>
      </c>
      <c r="AG2" s="86" t="s">
        <v>187</v>
      </c>
      <c r="AH2" s="86" t="s">
        <v>191</v>
      </c>
      <c r="AI2" s="86" t="s">
        <v>193</v>
      </c>
      <c r="AJ2" s="86" t="s">
        <v>194</v>
      </c>
      <c r="AL2" t="s">
        <v>200</v>
      </c>
    </row>
    <row r="3" spans="1:46" x14ac:dyDescent="0.25">
      <c r="R3" s="86">
        <v>135</v>
      </c>
      <c r="S3" s="138">
        <v>137</v>
      </c>
      <c r="T3" s="138">
        <v>53</v>
      </c>
      <c r="U3" s="138">
        <v>40</v>
      </c>
      <c r="V3" s="138">
        <v>54</v>
      </c>
      <c r="W3" s="138">
        <v>48</v>
      </c>
      <c r="AC3" s="138">
        <v>74</v>
      </c>
      <c r="AD3" s="138">
        <v>131</v>
      </c>
      <c r="AE3" s="86">
        <v>49</v>
      </c>
      <c r="AF3" s="138">
        <v>107</v>
      </c>
      <c r="AG3" s="86">
        <v>51</v>
      </c>
      <c r="AH3" s="138">
        <v>30</v>
      </c>
      <c r="AI3" s="138">
        <v>65</v>
      </c>
      <c r="AJ3" s="138">
        <v>47</v>
      </c>
    </row>
    <row r="4" spans="1:46" x14ac:dyDescent="0.25">
      <c r="R4" s="86">
        <v>35.799999999999997</v>
      </c>
      <c r="S4" s="86">
        <v>35.799999999999997</v>
      </c>
      <c r="T4" s="86">
        <v>35.799999999999997</v>
      </c>
      <c r="U4" s="86">
        <v>35.799999999999997</v>
      </c>
      <c r="V4" s="86">
        <v>35.799999999999997</v>
      </c>
      <c r="W4" s="138">
        <v>35.799999999999997</v>
      </c>
      <c r="AC4" s="86">
        <v>35.799999999999997</v>
      </c>
      <c r="AD4" s="86">
        <v>35.799999999999997</v>
      </c>
      <c r="AE4" s="86">
        <v>35.799999999999997</v>
      </c>
      <c r="AF4" s="86">
        <v>35.799999999999997</v>
      </c>
      <c r="AG4" s="86">
        <v>35.799999999999997</v>
      </c>
      <c r="AH4" s="86">
        <v>35.799999999999997</v>
      </c>
      <c r="AI4" s="86">
        <v>35.799999999999997</v>
      </c>
      <c r="AJ4" s="86">
        <v>35.799999999999997</v>
      </c>
      <c r="AL4" t="s">
        <v>201</v>
      </c>
    </row>
    <row r="5" spans="1:46" x14ac:dyDescent="0.25">
      <c r="N5" s="149">
        <v>0.67</v>
      </c>
      <c r="O5" s="149">
        <f>1-N5</f>
        <v>0.32999999999999996</v>
      </c>
      <c r="R5" s="143">
        <f t="shared" ref="R5:W5" si="0">R3/R4</f>
        <v>3.7709497206703912</v>
      </c>
      <c r="S5" s="143">
        <f>S3/S4</f>
        <v>3.8268156424581008</v>
      </c>
      <c r="T5" s="143">
        <f t="shared" si="0"/>
        <v>1.4804469273743017</v>
      </c>
      <c r="U5" s="143">
        <f t="shared" si="0"/>
        <v>1.1173184357541901</v>
      </c>
      <c r="V5" s="143">
        <f t="shared" si="0"/>
        <v>1.5083798882681565</v>
      </c>
      <c r="W5" s="143">
        <f t="shared" si="0"/>
        <v>1.3407821229050281</v>
      </c>
      <c r="Y5" s="149">
        <v>0.33</v>
      </c>
      <c r="Z5" s="149">
        <f>1-Y5</f>
        <v>0.66999999999999993</v>
      </c>
      <c r="AA5" s="142"/>
      <c r="AB5" s="142"/>
      <c r="AC5" s="143">
        <f t="shared" ref="AC5:AJ5" si="1">AC3/AC4</f>
        <v>2.0670391061452515</v>
      </c>
      <c r="AD5" s="143">
        <f t="shared" si="1"/>
        <v>3.6592178770949721</v>
      </c>
      <c r="AE5" s="143">
        <f t="shared" si="1"/>
        <v>1.3687150837988828</v>
      </c>
      <c r="AF5" s="143">
        <f t="shared" si="1"/>
        <v>2.9888268156424584</v>
      </c>
      <c r="AG5" s="143">
        <f t="shared" si="1"/>
        <v>1.4245810055865924</v>
      </c>
      <c r="AH5" s="143">
        <f t="shared" si="1"/>
        <v>0.83798882681564257</v>
      </c>
      <c r="AI5" s="143">
        <f t="shared" si="1"/>
        <v>1.8156424581005588</v>
      </c>
      <c r="AJ5" s="143">
        <f t="shared" si="1"/>
        <v>1.3128491620111733</v>
      </c>
    </row>
    <row r="6" spans="1:46" x14ac:dyDescent="0.25">
      <c r="H6" s="140"/>
      <c r="I6" s="140"/>
      <c r="M6">
        <f>入力!$W$26</f>
        <v>3500</v>
      </c>
      <c r="N6">
        <f>$M6*N5</f>
        <v>2345</v>
      </c>
      <c r="O6">
        <f>$M6*O5</f>
        <v>1154.9999999999998</v>
      </c>
      <c r="R6" s="86" t="s">
        <v>180</v>
      </c>
      <c r="S6" s="86" t="s">
        <v>181</v>
      </c>
      <c r="T6" s="86" t="s">
        <v>182</v>
      </c>
      <c r="U6" s="86" t="s">
        <v>184</v>
      </c>
      <c r="V6" s="86"/>
      <c r="W6" s="86" t="s">
        <v>183</v>
      </c>
      <c r="X6">
        <f>入力!$W$26</f>
        <v>3500</v>
      </c>
      <c r="Y6">
        <f>$M6*Y5</f>
        <v>1155</v>
      </c>
      <c r="Z6">
        <f>$M6*Z5</f>
        <v>2344.9999999999995</v>
      </c>
      <c r="AC6" s="86" t="s">
        <v>185</v>
      </c>
      <c r="AD6" s="86" t="s">
        <v>199</v>
      </c>
      <c r="AE6" s="86"/>
      <c r="AF6" s="86"/>
      <c r="AG6" s="86"/>
      <c r="AH6" s="86"/>
      <c r="AI6" s="86"/>
      <c r="AJ6" s="86"/>
    </row>
    <row r="7" spans="1:46" x14ac:dyDescent="0.25">
      <c r="M7" t="s">
        <v>207</v>
      </c>
      <c r="N7" s="149">
        <f>30%+10%+N("10%は予備")</f>
        <v>0.4</v>
      </c>
      <c r="O7" s="149">
        <f>37%+10%+N("10%は予備")</f>
        <v>0.47</v>
      </c>
      <c r="R7" s="86">
        <v>100</v>
      </c>
      <c r="S7" s="86">
        <v>50</v>
      </c>
      <c r="T7" s="86">
        <v>30</v>
      </c>
      <c r="U7" s="86">
        <v>20</v>
      </c>
      <c r="V7" s="86"/>
      <c r="W7" s="86">
        <v>30</v>
      </c>
      <c r="X7" t="s">
        <v>207</v>
      </c>
      <c r="Y7" s="149">
        <f>25%+10%+N("10%は予備")</f>
        <v>0.35</v>
      </c>
      <c r="Z7" s="149">
        <f>37%+10%+N("10%は予備")</f>
        <v>0.47</v>
      </c>
      <c r="AC7" s="86">
        <v>20</v>
      </c>
      <c r="AD7" s="86">
        <v>30</v>
      </c>
      <c r="AE7" s="86"/>
      <c r="AF7" s="86"/>
      <c r="AG7" s="86"/>
      <c r="AH7" s="86"/>
      <c r="AI7" s="86"/>
      <c r="AJ7" s="86"/>
    </row>
    <row r="8" spans="1:46" x14ac:dyDescent="0.25">
      <c r="H8" s="176">
        <f>入力!W23</f>
        <v>1.5</v>
      </c>
      <c r="I8" s="94">
        <f>入力!$W$22</f>
        <v>1.2</v>
      </c>
      <c r="R8" s="86">
        <v>12.5</v>
      </c>
      <c r="S8" s="86">
        <v>17.5</v>
      </c>
      <c r="T8" s="86">
        <v>17.5</v>
      </c>
      <c r="U8" s="86">
        <v>5</v>
      </c>
      <c r="V8" s="86"/>
      <c r="W8" s="86">
        <v>17.5</v>
      </c>
      <c r="AC8" s="86">
        <v>8.5</v>
      </c>
      <c r="AD8" s="86">
        <v>8.5</v>
      </c>
      <c r="AE8" s="86"/>
      <c r="AF8" s="86"/>
      <c r="AG8" s="86"/>
      <c r="AH8" s="86"/>
      <c r="AI8" s="86"/>
      <c r="AJ8" s="86"/>
    </row>
    <row r="9" spans="1:46" s="142" customFormat="1" x14ac:dyDescent="0.25">
      <c r="E9" s="147"/>
      <c r="F9" s="147"/>
      <c r="H9" s="142">
        <f>H8*12</f>
        <v>18</v>
      </c>
      <c r="I9" s="142">
        <f>I8*12</f>
        <v>14.399999999999999</v>
      </c>
      <c r="J9" s="148"/>
      <c r="N9" s="142">
        <f>N6*N7</f>
        <v>938</v>
      </c>
      <c r="O9" s="142">
        <f>O6*O7</f>
        <v>542.84999999999991</v>
      </c>
      <c r="P9" s="147"/>
      <c r="R9" s="143">
        <f>R7/R8</f>
        <v>8</v>
      </c>
      <c r="S9" s="143">
        <f>S7/S8</f>
        <v>2.8571428571428572</v>
      </c>
      <c r="T9" s="143">
        <f>T7/T8</f>
        <v>1.7142857142857142</v>
      </c>
      <c r="U9" s="143">
        <f>U7/U8</f>
        <v>4</v>
      </c>
      <c r="V9" s="137"/>
      <c r="W9" s="143">
        <f>W7/W8</f>
        <v>1.7142857142857142</v>
      </c>
      <c r="Y9" s="142">
        <f>Y6*Y7</f>
        <v>404.25</v>
      </c>
      <c r="Z9" s="142">
        <f>Z6*Z7</f>
        <v>1102.1499999999996</v>
      </c>
      <c r="AC9" s="143">
        <f>AC7/AC8</f>
        <v>2.3529411764705883</v>
      </c>
      <c r="AD9" s="143">
        <f t="shared" ref="AD9" si="2">AD7/AD8</f>
        <v>3.5294117647058822</v>
      </c>
      <c r="AE9" s="137"/>
      <c r="AF9" s="137"/>
      <c r="AG9" s="137"/>
      <c r="AH9" s="137"/>
      <c r="AI9" s="137"/>
      <c r="AJ9" s="137"/>
    </row>
    <row r="10" spans="1:46" x14ac:dyDescent="0.25">
      <c r="R10" s="141"/>
      <c r="S10" s="141"/>
      <c r="T10" s="141"/>
      <c r="U10" s="141"/>
      <c r="V10" s="141"/>
      <c r="W10" s="141"/>
      <c r="AC10" s="141"/>
      <c r="AD10" s="141"/>
      <c r="AE10" s="141"/>
      <c r="AF10" s="141"/>
      <c r="AG10" s="141"/>
      <c r="AH10" s="141"/>
      <c r="AI10" s="141"/>
      <c r="AJ10" s="141"/>
    </row>
    <row r="11" spans="1:46" x14ac:dyDescent="0.25">
      <c r="P11" s="3"/>
      <c r="R11" s="141"/>
      <c r="S11" s="141"/>
      <c r="T11" s="141"/>
      <c r="U11" s="141"/>
      <c r="V11" s="141"/>
      <c r="W11" s="141"/>
      <c r="AC11" s="141" t="s">
        <v>204</v>
      </c>
      <c r="AD11" s="141"/>
      <c r="AE11" s="141"/>
      <c r="AF11" s="141"/>
      <c r="AG11" s="141"/>
      <c r="AH11" s="141"/>
      <c r="AI11" s="141"/>
      <c r="AJ11" s="141"/>
      <c r="AM11" t="s">
        <v>306</v>
      </c>
      <c r="AR11" t="s">
        <v>305</v>
      </c>
    </row>
    <row r="12" spans="1:46" x14ac:dyDescent="0.25">
      <c r="B12" s="86"/>
      <c r="C12" s="86"/>
      <c r="D12" s="118" t="str">
        <f>入力!$W$20</f>
        <v>マンション</v>
      </c>
      <c r="E12" s="1" t="s">
        <v>175</v>
      </c>
      <c r="F12" s="1" t="s">
        <v>203</v>
      </c>
      <c r="H12" s="88" t="s">
        <v>177</v>
      </c>
      <c r="I12" s="88" t="s">
        <v>178</v>
      </c>
      <c r="J12" s="88" t="s">
        <v>179</v>
      </c>
      <c r="K12" s="88"/>
      <c r="L12" s="88"/>
      <c r="M12" s="88" t="s">
        <v>369</v>
      </c>
      <c r="N12" s="88" t="s">
        <v>206</v>
      </c>
      <c r="O12" s="88" t="s">
        <v>205</v>
      </c>
      <c r="P12" s="175" t="s">
        <v>175</v>
      </c>
      <c r="Q12" s="121"/>
      <c r="R12" s="88" t="s">
        <v>180</v>
      </c>
      <c r="S12" s="88" t="s">
        <v>189</v>
      </c>
      <c r="T12" s="88" t="s">
        <v>195</v>
      </c>
      <c r="U12" s="88" t="s">
        <v>196</v>
      </c>
      <c r="V12" s="88" t="s">
        <v>197</v>
      </c>
      <c r="W12" s="146" t="s">
        <v>198</v>
      </c>
      <c r="X12" s="88" t="s">
        <v>369</v>
      </c>
      <c r="Y12" s="88" t="s">
        <v>206</v>
      </c>
      <c r="Z12" s="88" t="s">
        <v>205</v>
      </c>
      <c r="AA12" s="88" t="s">
        <v>203</v>
      </c>
      <c r="AB12" s="121"/>
      <c r="AC12" s="88" t="s">
        <v>192</v>
      </c>
      <c r="AD12" s="88" t="s">
        <v>190</v>
      </c>
      <c r="AE12" s="88" t="s">
        <v>186</v>
      </c>
      <c r="AF12" s="88" t="s">
        <v>188</v>
      </c>
      <c r="AG12" s="88" t="s">
        <v>187</v>
      </c>
      <c r="AH12" s="88" t="s">
        <v>191</v>
      </c>
      <c r="AI12" s="88" t="s">
        <v>193</v>
      </c>
      <c r="AJ12" s="88" t="s">
        <v>194</v>
      </c>
      <c r="AK12" s="121"/>
      <c r="AM12">
        <v>0</v>
      </c>
      <c r="AN12" s="149">
        <v>0.96</v>
      </c>
      <c r="AO12">
        <v>0</v>
      </c>
      <c r="AP12" s="149">
        <v>0.8</v>
      </c>
    </row>
    <row r="13" spans="1:46" x14ac:dyDescent="0.25">
      <c r="A13" t="str">
        <f>IF(D13,$D$12,"賃貸")</f>
        <v>賃貸</v>
      </c>
      <c r="B13" s="118">
        <f>住居!B6</f>
        <v>24</v>
      </c>
      <c r="C13" s="118">
        <f>住居!C6</f>
        <v>-10</v>
      </c>
      <c r="D13" s="118">
        <f>IF(D$12=$E$12,E13,F13)</f>
        <v>0</v>
      </c>
      <c r="E13" s="1">
        <f>P13</f>
        <v>0</v>
      </c>
      <c r="F13" s="1">
        <f>AA13</f>
        <v>0</v>
      </c>
      <c r="H13" s="112">
        <f>IF($C13&gt;=0,H$9,0)</f>
        <v>0</v>
      </c>
      <c r="I13" s="112">
        <f t="shared" ref="I13:J76" si="3">IF($C13&gt;=0,I$9,0)</f>
        <v>0</v>
      </c>
      <c r="J13" s="112">
        <f t="shared" si="3"/>
        <v>0</v>
      </c>
      <c r="K13" s="86"/>
      <c r="L13" s="86"/>
      <c r="M13" s="112">
        <f>-$AT13</f>
        <v>0</v>
      </c>
      <c r="N13" s="202">
        <f>IF($C13&gt;=0,N$9*1.4%*VLOOKUP($C13,$AM$12:$AN$212,2,0)*IF($C13&lt;=5,0.5,1),0)</f>
        <v>0</v>
      </c>
      <c r="O13" s="202">
        <f>IF($C13&gt;=0,O$9*1.4%/6,0)</f>
        <v>0</v>
      </c>
      <c r="P13" s="112">
        <f>SUM(H13:O13)</f>
        <v>0</v>
      </c>
      <c r="R13" s="117">
        <f>IF($C13&gt;0,IF(MOD($C13,5)=0,R$9*5,0),0)</f>
        <v>0</v>
      </c>
      <c r="S13" s="117">
        <f t="shared" ref="S13:W28" si="4">IF($C13&gt;0,IF(MOD($C13,5)=0,S$9*5,0),0)</f>
        <v>0</v>
      </c>
      <c r="T13" s="117">
        <f t="shared" si="4"/>
        <v>0</v>
      </c>
      <c r="U13" s="117">
        <f t="shared" si="4"/>
        <v>0</v>
      </c>
      <c r="V13" s="117">
        <f t="shared" si="4"/>
        <v>0</v>
      </c>
      <c r="W13" s="117">
        <f t="shared" si="4"/>
        <v>0</v>
      </c>
      <c r="X13" s="112">
        <f>-$AT13</f>
        <v>0</v>
      </c>
      <c r="Y13" s="202">
        <f>IF($C13&gt;=0,Y$9*1.4%*VLOOKUP($C13,$AO$12:$AP$212,2,0)*IF($C13&lt;=3,0.5,1),0)</f>
        <v>0</v>
      </c>
      <c r="Z13" s="202">
        <f>IF($C13&gt;=0,Z$9*1.4%/6,0)</f>
        <v>0</v>
      </c>
      <c r="AA13" s="144">
        <f t="shared" ref="AA13:AA44" si="5">SUM(R13:Z13)</f>
        <v>0</v>
      </c>
      <c r="AC13" s="117">
        <f t="shared" ref="AC13:AD32" si="6">IF($C13&gt;=0,AC$5,0)</f>
        <v>0</v>
      </c>
      <c r="AD13" s="117">
        <f t="shared" si="6"/>
        <v>0</v>
      </c>
      <c r="AE13" s="117">
        <f t="shared" ref="AE13:AE44" si="7">IF($C13&gt;=0,AE$9,0)</f>
        <v>0</v>
      </c>
      <c r="AF13" s="117">
        <f t="shared" ref="AF13:AJ22" si="8">IF($C13&gt;=0,AF$5,0)</f>
        <v>0</v>
      </c>
      <c r="AG13" s="117">
        <f t="shared" si="8"/>
        <v>0</v>
      </c>
      <c r="AH13" s="117">
        <f t="shared" si="8"/>
        <v>0</v>
      </c>
      <c r="AI13" s="117">
        <f t="shared" si="8"/>
        <v>0</v>
      </c>
      <c r="AJ13" s="117">
        <f t="shared" si="8"/>
        <v>0</v>
      </c>
      <c r="AK13" s="145">
        <f>SUM(AC13:AJ13)</f>
        <v>0</v>
      </c>
      <c r="AM13">
        <v>1</v>
      </c>
      <c r="AN13" s="150">
        <v>0.93</v>
      </c>
      <c r="AO13">
        <v>1</v>
      </c>
      <c r="AP13" s="150">
        <v>0.75</v>
      </c>
      <c r="AR13" s="1">
        <f>IF($C13&gt;=0,入力!$W$35,0)</f>
        <v>0</v>
      </c>
      <c r="AS13" s="140">
        <f>入力!$W$26</f>
        <v>3500</v>
      </c>
      <c r="AT13" s="1">
        <f>IF(C13&gt;=0,IF(C13&lt;=9,IF(AS13*1%&gt;40,40,AS13*1%),0),0)</f>
        <v>0</v>
      </c>
    </row>
    <row r="14" spans="1:46" x14ac:dyDescent="0.25">
      <c r="A14" t="str">
        <f t="shared" ref="A14:A77" si="9">IF(D14,$D$12,"賃貸")</f>
        <v>賃貸</v>
      </c>
      <c r="B14" s="118">
        <f>住居!B7</f>
        <v>25</v>
      </c>
      <c r="C14" s="118">
        <f>住居!C7</f>
        <v>-9</v>
      </c>
      <c r="D14" s="118">
        <f t="shared" ref="D14:D77" si="10">IF(D$12=$E$12,E14,F14)</f>
        <v>0</v>
      </c>
      <c r="E14" s="1">
        <f t="shared" ref="E14:E77" si="11">P14</f>
        <v>0</v>
      </c>
      <c r="F14" s="1">
        <f t="shared" ref="F14:F77" si="12">AA14</f>
        <v>0</v>
      </c>
      <c r="H14" s="112">
        <f t="shared" ref="H14:H33" si="13">IF($C14&gt;=0,H$9,0)</f>
        <v>0</v>
      </c>
      <c r="I14" s="112">
        <f t="shared" si="3"/>
        <v>0</v>
      </c>
      <c r="J14" s="112">
        <f t="shared" si="3"/>
        <v>0</v>
      </c>
      <c r="K14" s="86"/>
      <c r="L14" s="86"/>
      <c r="M14" s="112">
        <f t="shared" ref="M14:M77" si="14">-$AT14</f>
        <v>0</v>
      </c>
      <c r="N14" s="117">
        <f t="shared" ref="N14:N77" si="15">IF($C14&gt;=0,N$9*1.4%*VLOOKUP($C14,$AM$12:$AN$212,2,0)*IF($C14&lt;=5,0.5,1),0)</f>
        <v>0</v>
      </c>
      <c r="O14" s="117">
        <f t="shared" ref="O14:O77" si="16">IF($C14&gt;=0,O$9*1.4%/6,0)</f>
        <v>0</v>
      </c>
      <c r="P14" s="112">
        <f t="shared" ref="P14:P77" si="17">SUM(H14:O14)</f>
        <v>0</v>
      </c>
      <c r="R14" s="117">
        <f>IF($C14&gt;0,IF(MOD($C14,5)=0,R$9*5,0),0)</f>
        <v>0</v>
      </c>
      <c r="S14" s="117">
        <f t="shared" si="4"/>
        <v>0</v>
      </c>
      <c r="T14" s="117">
        <f t="shared" si="4"/>
        <v>0</v>
      </c>
      <c r="U14" s="117">
        <f t="shared" si="4"/>
        <v>0</v>
      </c>
      <c r="V14" s="117">
        <f t="shared" si="4"/>
        <v>0</v>
      </c>
      <c r="W14" s="117">
        <f t="shared" si="4"/>
        <v>0</v>
      </c>
      <c r="X14" s="112">
        <f t="shared" ref="X14:X77" si="18">-$AT14</f>
        <v>0</v>
      </c>
      <c r="Y14" s="117">
        <f t="shared" ref="Y14:Y77" si="19">IF($C14&gt;=0,Y$9*1.4%*VLOOKUP($C14,$AO$12:$AP$212,2,0)*IF($C14&lt;=3,0.5,1),0)</f>
        <v>0</v>
      </c>
      <c r="Z14" s="117">
        <f t="shared" ref="Z14:Z77" si="20">IF($C14&gt;=0,Z$9*1.4%/6,0)</f>
        <v>0</v>
      </c>
      <c r="AA14" s="144">
        <f t="shared" si="5"/>
        <v>0</v>
      </c>
      <c r="AC14" s="117">
        <f t="shared" si="6"/>
        <v>0</v>
      </c>
      <c r="AD14" s="117">
        <f t="shared" si="6"/>
        <v>0</v>
      </c>
      <c r="AE14" s="117">
        <f t="shared" si="7"/>
        <v>0</v>
      </c>
      <c r="AF14" s="117">
        <f t="shared" si="8"/>
        <v>0</v>
      </c>
      <c r="AG14" s="117">
        <f t="shared" si="8"/>
        <v>0</v>
      </c>
      <c r="AH14" s="117">
        <f t="shared" si="8"/>
        <v>0</v>
      </c>
      <c r="AI14" s="117">
        <f t="shared" si="8"/>
        <v>0</v>
      </c>
      <c r="AJ14" s="117">
        <f t="shared" si="8"/>
        <v>0</v>
      </c>
      <c r="AK14" s="145">
        <f t="shared" ref="AK14:AK77" si="21">SUM(AC14:AJ14)</f>
        <v>0</v>
      </c>
      <c r="AM14">
        <v>2</v>
      </c>
      <c r="AN14" s="150">
        <v>0.9</v>
      </c>
      <c r="AO14">
        <v>2</v>
      </c>
      <c r="AP14" s="150">
        <v>0.7</v>
      </c>
      <c r="AR14" s="1">
        <f>IF($C14&gt;=0,入力!$W$35,0)</f>
        <v>0</v>
      </c>
      <c r="AS14" s="140">
        <f>AS13-AR14</f>
        <v>3500</v>
      </c>
      <c r="AT14" s="1">
        <f t="shared" ref="AT14:AT47" si="22">IF(C14&gt;=0,IF(C14&lt;=9,IF(AS14*1%&gt;40,40,AS14*1%),0),0)</f>
        <v>0</v>
      </c>
    </row>
    <row r="15" spans="1:46" x14ac:dyDescent="0.25">
      <c r="A15" t="str">
        <f t="shared" si="9"/>
        <v>賃貸</v>
      </c>
      <c r="B15" s="118">
        <f>住居!B8</f>
        <v>26</v>
      </c>
      <c r="C15" s="118">
        <f>住居!C8</f>
        <v>-8</v>
      </c>
      <c r="D15" s="118">
        <f t="shared" si="10"/>
        <v>0</v>
      </c>
      <c r="E15" s="1">
        <f t="shared" si="11"/>
        <v>0</v>
      </c>
      <c r="F15" s="1">
        <f t="shared" si="12"/>
        <v>0</v>
      </c>
      <c r="H15" s="112">
        <f t="shared" si="13"/>
        <v>0</v>
      </c>
      <c r="I15" s="112">
        <f t="shared" si="3"/>
        <v>0</v>
      </c>
      <c r="J15" s="112">
        <f t="shared" si="3"/>
        <v>0</v>
      </c>
      <c r="K15" s="86"/>
      <c r="L15" s="86"/>
      <c r="M15" s="112">
        <f t="shared" si="14"/>
        <v>0</v>
      </c>
      <c r="N15" s="117">
        <f t="shared" si="15"/>
        <v>0</v>
      </c>
      <c r="O15" s="117">
        <f t="shared" si="16"/>
        <v>0</v>
      </c>
      <c r="P15" s="112">
        <f t="shared" si="17"/>
        <v>0</v>
      </c>
      <c r="R15" s="117">
        <f>IF($C15&gt;0,IF(MOD($C15,5)=0,R$9*5,0),0)</f>
        <v>0</v>
      </c>
      <c r="S15" s="117">
        <f t="shared" si="4"/>
        <v>0</v>
      </c>
      <c r="T15" s="117">
        <f t="shared" si="4"/>
        <v>0</v>
      </c>
      <c r="U15" s="117">
        <f t="shared" si="4"/>
        <v>0</v>
      </c>
      <c r="V15" s="117">
        <f t="shared" si="4"/>
        <v>0</v>
      </c>
      <c r="W15" s="117">
        <f t="shared" si="4"/>
        <v>0</v>
      </c>
      <c r="X15" s="112">
        <f t="shared" si="18"/>
        <v>0</v>
      </c>
      <c r="Y15" s="117">
        <f t="shared" si="19"/>
        <v>0</v>
      </c>
      <c r="Z15" s="117">
        <f t="shared" si="20"/>
        <v>0</v>
      </c>
      <c r="AA15" s="144">
        <f t="shared" si="5"/>
        <v>0</v>
      </c>
      <c r="AC15" s="117">
        <f t="shared" si="6"/>
        <v>0</v>
      </c>
      <c r="AD15" s="117">
        <f t="shared" si="6"/>
        <v>0</v>
      </c>
      <c r="AE15" s="117">
        <f t="shared" si="7"/>
        <v>0</v>
      </c>
      <c r="AF15" s="117">
        <f t="shared" si="8"/>
        <v>0</v>
      </c>
      <c r="AG15" s="117">
        <f t="shared" si="8"/>
        <v>0</v>
      </c>
      <c r="AH15" s="117">
        <f t="shared" si="8"/>
        <v>0</v>
      </c>
      <c r="AI15" s="117">
        <f t="shared" si="8"/>
        <v>0</v>
      </c>
      <c r="AJ15" s="117">
        <f t="shared" si="8"/>
        <v>0</v>
      </c>
      <c r="AK15" s="145">
        <f t="shared" si="21"/>
        <v>0</v>
      </c>
      <c r="AM15">
        <v>3</v>
      </c>
      <c r="AN15" s="150">
        <v>0.88</v>
      </c>
      <c r="AO15">
        <v>3</v>
      </c>
      <c r="AP15" s="150">
        <v>0.67</v>
      </c>
      <c r="AR15" s="1">
        <f>IF($C15&gt;=0,入力!$W$35,0)</f>
        <v>0</v>
      </c>
      <c r="AS15" s="140">
        <f t="shared" ref="AS15:AS47" si="23">AS14-AR15</f>
        <v>3500</v>
      </c>
      <c r="AT15" s="1">
        <f t="shared" si="22"/>
        <v>0</v>
      </c>
    </row>
    <row r="16" spans="1:46" x14ac:dyDescent="0.25">
      <c r="A16" t="str">
        <f t="shared" si="9"/>
        <v>賃貸</v>
      </c>
      <c r="B16" s="118">
        <f>住居!B9</f>
        <v>27</v>
      </c>
      <c r="C16" s="118">
        <f>住居!C9</f>
        <v>-7</v>
      </c>
      <c r="D16" s="118">
        <f t="shared" si="10"/>
        <v>0</v>
      </c>
      <c r="E16" s="1">
        <f t="shared" si="11"/>
        <v>0</v>
      </c>
      <c r="F16" s="1">
        <f t="shared" si="12"/>
        <v>0</v>
      </c>
      <c r="H16" s="112">
        <f t="shared" si="13"/>
        <v>0</v>
      </c>
      <c r="I16" s="112">
        <f t="shared" si="3"/>
        <v>0</v>
      </c>
      <c r="J16" s="112">
        <f t="shared" si="3"/>
        <v>0</v>
      </c>
      <c r="K16" s="86"/>
      <c r="L16" s="86"/>
      <c r="M16" s="112">
        <f t="shared" si="14"/>
        <v>0</v>
      </c>
      <c r="N16" s="117">
        <f t="shared" si="15"/>
        <v>0</v>
      </c>
      <c r="O16" s="117">
        <f t="shared" si="16"/>
        <v>0</v>
      </c>
      <c r="P16" s="112">
        <f t="shared" si="17"/>
        <v>0</v>
      </c>
      <c r="R16" s="117">
        <f t="shared" ref="R16:W30" si="24">IF($C16&gt;0,IF(MOD($C16,5)=0,R$9*5,0),0)</f>
        <v>0</v>
      </c>
      <c r="S16" s="117">
        <f t="shared" si="4"/>
        <v>0</v>
      </c>
      <c r="T16" s="117">
        <f t="shared" si="4"/>
        <v>0</v>
      </c>
      <c r="U16" s="117">
        <f t="shared" si="4"/>
        <v>0</v>
      </c>
      <c r="V16" s="117">
        <f t="shared" si="4"/>
        <v>0</v>
      </c>
      <c r="W16" s="117">
        <f t="shared" si="4"/>
        <v>0</v>
      </c>
      <c r="X16" s="112">
        <f t="shared" si="18"/>
        <v>0</v>
      </c>
      <c r="Y16" s="117">
        <f t="shared" si="19"/>
        <v>0</v>
      </c>
      <c r="Z16" s="117">
        <f t="shared" si="20"/>
        <v>0</v>
      </c>
      <c r="AA16" s="144">
        <f t="shared" si="5"/>
        <v>0</v>
      </c>
      <c r="AC16" s="117">
        <f t="shared" si="6"/>
        <v>0</v>
      </c>
      <c r="AD16" s="117">
        <f t="shared" si="6"/>
        <v>0</v>
      </c>
      <c r="AE16" s="117">
        <f t="shared" si="7"/>
        <v>0</v>
      </c>
      <c r="AF16" s="117">
        <f t="shared" si="8"/>
        <v>0</v>
      </c>
      <c r="AG16" s="117">
        <f t="shared" si="8"/>
        <v>0</v>
      </c>
      <c r="AH16" s="117">
        <f t="shared" si="8"/>
        <v>0</v>
      </c>
      <c r="AI16" s="117">
        <f t="shared" si="8"/>
        <v>0</v>
      </c>
      <c r="AJ16" s="117">
        <f t="shared" si="8"/>
        <v>0</v>
      </c>
      <c r="AK16" s="145">
        <f t="shared" si="21"/>
        <v>0</v>
      </c>
      <c r="AM16">
        <v>4</v>
      </c>
      <c r="AN16" s="150">
        <v>0.86</v>
      </c>
      <c r="AO16">
        <v>4</v>
      </c>
      <c r="AP16" s="150">
        <v>0.64</v>
      </c>
      <c r="AR16" s="1">
        <f>IF($C16&gt;=0,入力!$W$35,0)</f>
        <v>0</v>
      </c>
      <c r="AS16" s="140">
        <f t="shared" si="23"/>
        <v>3500</v>
      </c>
      <c r="AT16" s="1">
        <f t="shared" si="22"/>
        <v>0</v>
      </c>
    </row>
    <row r="17" spans="1:46" x14ac:dyDescent="0.25">
      <c r="A17" t="str">
        <f t="shared" si="9"/>
        <v>賃貸</v>
      </c>
      <c r="B17" s="118">
        <f>住居!B10</f>
        <v>28</v>
      </c>
      <c r="C17" s="118">
        <f>住居!C10</f>
        <v>-6</v>
      </c>
      <c r="D17" s="118">
        <f t="shared" si="10"/>
        <v>0</v>
      </c>
      <c r="E17" s="1">
        <f t="shared" si="11"/>
        <v>0</v>
      </c>
      <c r="F17" s="1">
        <f t="shared" si="12"/>
        <v>0</v>
      </c>
      <c r="H17" s="112">
        <f t="shared" si="13"/>
        <v>0</v>
      </c>
      <c r="I17" s="112">
        <f t="shared" si="3"/>
        <v>0</v>
      </c>
      <c r="J17" s="112">
        <f t="shared" si="3"/>
        <v>0</v>
      </c>
      <c r="K17" s="86"/>
      <c r="L17" s="86"/>
      <c r="M17" s="112">
        <f t="shared" si="14"/>
        <v>0</v>
      </c>
      <c r="N17" s="117">
        <f t="shared" si="15"/>
        <v>0</v>
      </c>
      <c r="O17" s="117">
        <f t="shared" si="16"/>
        <v>0</v>
      </c>
      <c r="P17" s="112">
        <f t="shared" si="17"/>
        <v>0</v>
      </c>
      <c r="R17" s="117">
        <f>IF($C17&gt;0,IF(MOD($C17,5)=0,R$9*5,0),0)</f>
        <v>0</v>
      </c>
      <c r="S17" s="117">
        <f t="shared" si="4"/>
        <v>0</v>
      </c>
      <c r="T17" s="117">
        <f t="shared" si="4"/>
        <v>0</v>
      </c>
      <c r="U17" s="117">
        <f t="shared" si="4"/>
        <v>0</v>
      </c>
      <c r="V17" s="117">
        <f t="shared" si="4"/>
        <v>0</v>
      </c>
      <c r="W17" s="117">
        <f t="shared" si="4"/>
        <v>0</v>
      </c>
      <c r="X17" s="112">
        <f t="shared" si="18"/>
        <v>0</v>
      </c>
      <c r="Y17" s="117">
        <f t="shared" si="19"/>
        <v>0</v>
      </c>
      <c r="Z17" s="117">
        <f t="shared" si="20"/>
        <v>0</v>
      </c>
      <c r="AA17" s="144">
        <f t="shared" si="5"/>
        <v>0</v>
      </c>
      <c r="AC17" s="117">
        <f t="shared" si="6"/>
        <v>0</v>
      </c>
      <c r="AD17" s="117">
        <f t="shared" si="6"/>
        <v>0</v>
      </c>
      <c r="AE17" s="117">
        <f t="shared" si="7"/>
        <v>0</v>
      </c>
      <c r="AF17" s="117">
        <f t="shared" si="8"/>
        <v>0</v>
      </c>
      <c r="AG17" s="117">
        <f t="shared" si="8"/>
        <v>0</v>
      </c>
      <c r="AH17" s="117">
        <f t="shared" si="8"/>
        <v>0</v>
      </c>
      <c r="AI17" s="117">
        <f t="shared" si="8"/>
        <v>0</v>
      </c>
      <c r="AJ17" s="117">
        <f t="shared" si="8"/>
        <v>0</v>
      </c>
      <c r="AK17" s="145">
        <f t="shared" si="21"/>
        <v>0</v>
      </c>
      <c r="AM17">
        <v>5</v>
      </c>
      <c r="AN17" s="150">
        <v>0.83</v>
      </c>
      <c r="AO17">
        <v>5</v>
      </c>
      <c r="AP17" s="150">
        <v>0.61</v>
      </c>
      <c r="AR17" s="1">
        <f>IF($C17&gt;=0,入力!$W$35,0)</f>
        <v>0</v>
      </c>
      <c r="AS17" s="140">
        <f t="shared" si="23"/>
        <v>3500</v>
      </c>
      <c r="AT17" s="1">
        <f t="shared" si="22"/>
        <v>0</v>
      </c>
    </row>
    <row r="18" spans="1:46" x14ac:dyDescent="0.25">
      <c r="A18" t="str">
        <f t="shared" si="9"/>
        <v>賃貸</v>
      </c>
      <c r="B18" s="118">
        <f>住居!B11</f>
        <v>29</v>
      </c>
      <c r="C18" s="118">
        <f>住居!C11</f>
        <v>-5</v>
      </c>
      <c r="D18" s="118">
        <f t="shared" si="10"/>
        <v>0</v>
      </c>
      <c r="E18" s="1">
        <f t="shared" si="11"/>
        <v>0</v>
      </c>
      <c r="F18" s="1">
        <f t="shared" si="12"/>
        <v>0</v>
      </c>
      <c r="H18" s="112">
        <f t="shared" si="13"/>
        <v>0</v>
      </c>
      <c r="I18" s="112">
        <f t="shared" si="3"/>
        <v>0</v>
      </c>
      <c r="J18" s="112">
        <f t="shared" si="3"/>
        <v>0</v>
      </c>
      <c r="K18" s="86"/>
      <c r="L18" s="86"/>
      <c r="M18" s="112">
        <f t="shared" si="14"/>
        <v>0</v>
      </c>
      <c r="N18" s="117">
        <f t="shared" si="15"/>
        <v>0</v>
      </c>
      <c r="O18" s="117">
        <f t="shared" si="16"/>
        <v>0</v>
      </c>
      <c r="P18" s="112">
        <f t="shared" si="17"/>
        <v>0</v>
      </c>
      <c r="R18" s="117">
        <f t="shared" si="24"/>
        <v>0</v>
      </c>
      <c r="S18" s="117">
        <f t="shared" si="4"/>
        <v>0</v>
      </c>
      <c r="T18" s="117">
        <f t="shared" si="4"/>
        <v>0</v>
      </c>
      <c r="U18" s="117">
        <f t="shared" si="4"/>
        <v>0</v>
      </c>
      <c r="V18" s="117">
        <f t="shared" si="4"/>
        <v>0</v>
      </c>
      <c r="W18" s="117">
        <f t="shared" si="4"/>
        <v>0</v>
      </c>
      <c r="X18" s="112">
        <f t="shared" si="18"/>
        <v>0</v>
      </c>
      <c r="Y18" s="117">
        <f t="shared" si="19"/>
        <v>0</v>
      </c>
      <c r="Z18" s="117">
        <f t="shared" si="20"/>
        <v>0</v>
      </c>
      <c r="AA18" s="144">
        <f t="shared" si="5"/>
        <v>0</v>
      </c>
      <c r="AC18" s="117">
        <f t="shared" si="6"/>
        <v>0</v>
      </c>
      <c r="AD18" s="117">
        <f t="shared" si="6"/>
        <v>0</v>
      </c>
      <c r="AE18" s="117">
        <f t="shared" si="7"/>
        <v>0</v>
      </c>
      <c r="AF18" s="117">
        <f t="shared" si="8"/>
        <v>0</v>
      </c>
      <c r="AG18" s="117">
        <f t="shared" si="8"/>
        <v>0</v>
      </c>
      <c r="AH18" s="117">
        <f t="shared" si="8"/>
        <v>0</v>
      </c>
      <c r="AI18" s="117">
        <f t="shared" si="8"/>
        <v>0</v>
      </c>
      <c r="AJ18" s="117">
        <f t="shared" si="8"/>
        <v>0</v>
      </c>
      <c r="AK18" s="145">
        <f t="shared" si="21"/>
        <v>0</v>
      </c>
      <c r="AM18">
        <v>6</v>
      </c>
      <c r="AN18" s="150">
        <v>0.81</v>
      </c>
      <c r="AO18">
        <v>6</v>
      </c>
      <c r="AP18" s="150">
        <v>0.57999999999999996</v>
      </c>
      <c r="AR18" s="1">
        <f>IF($C18&gt;=0,入力!$W$35,0)</f>
        <v>0</v>
      </c>
      <c r="AS18" s="140">
        <f t="shared" si="23"/>
        <v>3500</v>
      </c>
      <c r="AT18" s="1">
        <f t="shared" si="22"/>
        <v>0</v>
      </c>
    </row>
    <row r="19" spans="1:46" x14ac:dyDescent="0.25">
      <c r="A19" t="str">
        <f t="shared" si="9"/>
        <v>賃貸</v>
      </c>
      <c r="B19" s="118">
        <f>住居!B12</f>
        <v>30</v>
      </c>
      <c r="C19" s="118">
        <f>住居!C12</f>
        <v>-4</v>
      </c>
      <c r="D19" s="118">
        <f t="shared" si="10"/>
        <v>0</v>
      </c>
      <c r="E19" s="1">
        <f t="shared" si="11"/>
        <v>0</v>
      </c>
      <c r="F19" s="1">
        <f t="shared" si="12"/>
        <v>0</v>
      </c>
      <c r="H19" s="112">
        <f t="shared" si="13"/>
        <v>0</v>
      </c>
      <c r="I19" s="112">
        <f t="shared" si="3"/>
        <v>0</v>
      </c>
      <c r="J19" s="112">
        <f t="shared" si="3"/>
        <v>0</v>
      </c>
      <c r="K19" s="86"/>
      <c r="L19" s="86"/>
      <c r="M19" s="112">
        <f t="shared" si="14"/>
        <v>0</v>
      </c>
      <c r="N19" s="117">
        <f t="shared" si="15"/>
        <v>0</v>
      </c>
      <c r="O19" s="117">
        <f t="shared" si="16"/>
        <v>0</v>
      </c>
      <c r="P19" s="112">
        <f t="shared" si="17"/>
        <v>0</v>
      </c>
      <c r="R19" s="117">
        <f t="shared" si="24"/>
        <v>0</v>
      </c>
      <c r="S19" s="117">
        <f t="shared" si="4"/>
        <v>0</v>
      </c>
      <c r="T19" s="117">
        <f t="shared" si="4"/>
        <v>0</v>
      </c>
      <c r="U19" s="117">
        <f t="shared" si="4"/>
        <v>0</v>
      </c>
      <c r="V19" s="117">
        <f t="shared" si="4"/>
        <v>0</v>
      </c>
      <c r="W19" s="117">
        <f t="shared" si="4"/>
        <v>0</v>
      </c>
      <c r="X19" s="112">
        <f t="shared" si="18"/>
        <v>0</v>
      </c>
      <c r="Y19" s="117">
        <f t="shared" si="19"/>
        <v>0</v>
      </c>
      <c r="Z19" s="117">
        <f t="shared" si="20"/>
        <v>0</v>
      </c>
      <c r="AA19" s="144">
        <f t="shared" si="5"/>
        <v>0</v>
      </c>
      <c r="AC19" s="117">
        <f t="shared" si="6"/>
        <v>0</v>
      </c>
      <c r="AD19" s="117">
        <f t="shared" si="6"/>
        <v>0</v>
      </c>
      <c r="AE19" s="117">
        <f t="shared" si="7"/>
        <v>0</v>
      </c>
      <c r="AF19" s="117">
        <f t="shared" si="8"/>
        <v>0</v>
      </c>
      <c r="AG19" s="117">
        <f t="shared" si="8"/>
        <v>0</v>
      </c>
      <c r="AH19" s="117">
        <f t="shared" si="8"/>
        <v>0</v>
      </c>
      <c r="AI19" s="117">
        <f t="shared" si="8"/>
        <v>0</v>
      </c>
      <c r="AJ19" s="117">
        <f t="shared" si="8"/>
        <v>0</v>
      </c>
      <c r="AK19" s="145">
        <f t="shared" si="21"/>
        <v>0</v>
      </c>
      <c r="AM19">
        <v>7</v>
      </c>
      <c r="AN19" s="150">
        <v>0.79</v>
      </c>
      <c r="AO19">
        <v>7</v>
      </c>
      <c r="AP19" s="150">
        <v>0.55000000000000004</v>
      </c>
      <c r="AR19" s="1">
        <f>IF($C19&gt;=0,入力!$W$35,0)</f>
        <v>0</v>
      </c>
      <c r="AS19" s="140">
        <f t="shared" si="23"/>
        <v>3500</v>
      </c>
      <c r="AT19" s="1">
        <f t="shared" si="22"/>
        <v>0</v>
      </c>
    </row>
    <row r="20" spans="1:46" x14ac:dyDescent="0.25">
      <c r="A20" t="str">
        <f t="shared" si="9"/>
        <v>賃貸</v>
      </c>
      <c r="B20" s="118">
        <f>住居!B13</f>
        <v>31</v>
      </c>
      <c r="C20" s="118">
        <f>住居!C13</f>
        <v>-3</v>
      </c>
      <c r="D20" s="118">
        <f t="shared" si="10"/>
        <v>0</v>
      </c>
      <c r="E20" s="1">
        <f t="shared" si="11"/>
        <v>0</v>
      </c>
      <c r="F20" s="1">
        <f t="shared" si="12"/>
        <v>0</v>
      </c>
      <c r="H20" s="112">
        <f t="shared" si="13"/>
        <v>0</v>
      </c>
      <c r="I20" s="112">
        <f t="shared" si="3"/>
        <v>0</v>
      </c>
      <c r="J20" s="112">
        <f t="shared" si="3"/>
        <v>0</v>
      </c>
      <c r="K20" s="86"/>
      <c r="L20" s="86"/>
      <c r="M20" s="112">
        <f t="shared" si="14"/>
        <v>0</v>
      </c>
      <c r="N20" s="117">
        <f t="shared" si="15"/>
        <v>0</v>
      </c>
      <c r="O20" s="117">
        <f t="shared" si="16"/>
        <v>0</v>
      </c>
      <c r="P20" s="112">
        <f t="shared" si="17"/>
        <v>0</v>
      </c>
      <c r="R20" s="117">
        <f t="shared" si="24"/>
        <v>0</v>
      </c>
      <c r="S20" s="117">
        <f t="shared" si="4"/>
        <v>0</v>
      </c>
      <c r="T20" s="117">
        <f t="shared" si="4"/>
        <v>0</v>
      </c>
      <c r="U20" s="117">
        <f t="shared" si="4"/>
        <v>0</v>
      </c>
      <c r="V20" s="117">
        <f t="shared" si="4"/>
        <v>0</v>
      </c>
      <c r="W20" s="117">
        <f t="shared" si="4"/>
        <v>0</v>
      </c>
      <c r="X20" s="112">
        <f t="shared" si="18"/>
        <v>0</v>
      </c>
      <c r="Y20" s="117">
        <f t="shared" si="19"/>
        <v>0</v>
      </c>
      <c r="Z20" s="117">
        <f t="shared" si="20"/>
        <v>0</v>
      </c>
      <c r="AA20" s="144">
        <f t="shared" si="5"/>
        <v>0</v>
      </c>
      <c r="AC20" s="117">
        <f t="shared" si="6"/>
        <v>0</v>
      </c>
      <c r="AD20" s="117">
        <f t="shared" si="6"/>
        <v>0</v>
      </c>
      <c r="AE20" s="117">
        <f t="shared" si="7"/>
        <v>0</v>
      </c>
      <c r="AF20" s="117">
        <f t="shared" si="8"/>
        <v>0</v>
      </c>
      <c r="AG20" s="117">
        <f t="shared" si="8"/>
        <v>0</v>
      </c>
      <c r="AH20" s="117">
        <f t="shared" si="8"/>
        <v>0</v>
      </c>
      <c r="AI20" s="117">
        <f t="shared" si="8"/>
        <v>0</v>
      </c>
      <c r="AJ20" s="117">
        <f t="shared" si="8"/>
        <v>0</v>
      </c>
      <c r="AK20" s="145">
        <f t="shared" si="21"/>
        <v>0</v>
      </c>
      <c r="AM20">
        <v>8</v>
      </c>
      <c r="AN20" s="150">
        <v>0.76</v>
      </c>
      <c r="AO20">
        <v>8</v>
      </c>
      <c r="AP20" s="150">
        <v>0.52</v>
      </c>
      <c r="AR20" s="1">
        <f>IF($C20&gt;=0,入力!$W$35,0)</f>
        <v>0</v>
      </c>
      <c r="AS20" s="140">
        <f t="shared" si="23"/>
        <v>3500</v>
      </c>
      <c r="AT20" s="1">
        <f t="shared" si="22"/>
        <v>0</v>
      </c>
    </row>
    <row r="21" spans="1:46" x14ac:dyDescent="0.25">
      <c r="A21" t="str">
        <f t="shared" si="9"/>
        <v>賃貸</v>
      </c>
      <c r="B21" s="118">
        <f>住居!B14</f>
        <v>32</v>
      </c>
      <c r="C21" s="118">
        <f>住居!C14</f>
        <v>-2</v>
      </c>
      <c r="D21" s="118">
        <f t="shared" si="10"/>
        <v>0</v>
      </c>
      <c r="E21" s="1">
        <f t="shared" si="11"/>
        <v>0</v>
      </c>
      <c r="F21" s="1">
        <f t="shared" si="12"/>
        <v>0</v>
      </c>
      <c r="H21" s="112">
        <f t="shared" si="13"/>
        <v>0</v>
      </c>
      <c r="I21" s="112">
        <f t="shared" si="3"/>
        <v>0</v>
      </c>
      <c r="J21" s="112">
        <f t="shared" si="3"/>
        <v>0</v>
      </c>
      <c r="K21" s="86"/>
      <c r="L21" s="86"/>
      <c r="M21" s="112">
        <f t="shared" si="14"/>
        <v>0</v>
      </c>
      <c r="N21" s="117">
        <f t="shared" si="15"/>
        <v>0</v>
      </c>
      <c r="O21" s="117">
        <f t="shared" si="16"/>
        <v>0</v>
      </c>
      <c r="P21" s="112">
        <f t="shared" si="17"/>
        <v>0</v>
      </c>
      <c r="R21" s="117">
        <f t="shared" si="24"/>
        <v>0</v>
      </c>
      <c r="S21" s="117">
        <f t="shared" si="4"/>
        <v>0</v>
      </c>
      <c r="T21" s="117">
        <f t="shared" si="4"/>
        <v>0</v>
      </c>
      <c r="U21" s="117">
        <f t="shared" si="4"/>
        <v>0</v>
      </c>
      <c r="V21" s="117">
        <f t="shared" si="4"/>
        <v>0</v>
      </c>
      <c r="W21" s="117">
        <f t="shared" si="4"/>
        <v>0</v>
      </c>
      <c r="X21" s="112">
        <f t="shared" si="18"/>
        <v>0</v>
      </c>
      <c r="Y21" s="117">
        <f t="shared" si="19"/>
        <v>0</v>
      </c>
      <c r="Z21" s="117">
        <f t="shared" si="20"/>
        <v>0</v>
      </c>
      <c r="AA21" s="144">
        <f t="shared" si="5"/>
        <v>0</v>
      </c>
      <c r="AC21" s="117">
        <f t="shared" si="6"/>
        <v>0</v>
      </c>
      <c r="AD21" s="117">
        <f t="shared" si="6"/>
        <v>0</v>
      </c>
      <c r="AE21" s="117">
        <f t="shared" si="7"/>
        <v>0</v>
      </c>
      <c r="AF21" s="117">
        <f t="shared" si="8"/>
        <v>0</v>
      </c>
      <c r="AG21" s="117">
        <f t="shared" si="8"/>
        <v>0</v>
      </c>
      <c r="AH21" s="117">
        <f t="shared" si="8"/>
        <v>0</v>
      </c>
      <c r="AI21" s="117">
        <f t="shared" si="8"/>
        <v>0</v>
      </c>
      <c r="AJ21" s="117">
        <f t="shared" si="8"/>
        <v>0</v>
      </c>
      <c r="AK21" s="145">
        <f t="shared" si="21"/>
        <v>0</v>
      </c>
      <c r="AM21">
        <v>9</v>
      </c>
      <c r="AN21" s="150">
        <v>0.74</v>
      </c>
      <c r="AO21">
        <v>9</v>
      </c>
      <c r="AP21" s="150">
        <v>0.49</v>
      </c>
      <c r="AR21" s="1">
        <f>IF($C21&gt;=0,入力!$W$35,0)</f>
        <v>0</v>
      </c>
      <c r="AS21" s="140">
        <f t="shared" si="23"/>
        <v>3500</v>
      </c>
      <c r="AT21" s="1">
        <f t="shared" si="22"/>
        <v>0</v>
      </c>
    </row>
    <row r="22" spans="1:46" x14ac:dyDescent="0.25">
      <c r="A22" t="str">
        <f t="shared" si="9"/>
        <v>賃貸</v>
      </c>
      <c r="B22" s="118">
        <f>住居!B15</f>
        <v>33</v>
      </c>
      <c r="C22" s="118">
        <f>住居!C15</f>
        <v>-1</v>
      </c>
      <c r="D22" s="118">
        <f t="shared" si="10"/>
        <v>0</v>
      </c>
      <c r="E22" s="1">
        <f t="shared" si="11"/>
        <v>0</v>
      </c>
      <c r="F22" s="1">
        <f t="shared" si="12"/>
        <v>0</v>
      </c>
      <c r="H22" s="112">
        <f t="shared" si="13"/>
        <v>0</v>
      </c>
      <c r="I22" s="112">
        <f t="shared" si="3"/>
        <v>0</v>
      </c>
      <c r="J22" s="112">
        <f t="shared" si="3"/>
        <v>0</v>
      </c>
      <c r="K22" s="86"/>
      <c r="L22" s="86"/>
      <c r="M22" s="112">
        <f t="shared" si="14"/>
        <v>0</v>
      </c>
      <c r="N22" s="117">
        <f t="shared" si="15"/>
        <v>0</v>
      </c>
      <c r="O22" s="117">
        <f t="shared" si="16"/>
        <v>0</v>
      </c>
      <c r="P22" s="112">
        <f t="shared" si="17"/>
        <v>0</v>
      </c>
      <c r="R22" s="117">
        <f t="shared" si="24"/>
        <v>0</v>
      </c>
      <c r="S22" s="117">
        <f t="shared" si="4"/>
        <v>0</v>
      </c>
      <c r="T22" s="117">
        <f t="shared" si="4"/>
        <v>0</v>
      </c>
      <c r="U22" s="117">
        <f t="shared" si="4"/>
        <v>0</v>
      </c>
      <c r="V22" s="117">
        <f t="shared" si="4"/>
        <v>0</v>
      </c>
      <c r="W22" s="117">
        <f t="shared" si="4"/>
        <v>0</v>
      </c>
      <c r="X22" s="112">
        <f t="shared" si="18"/>
        <v>0</v>
      </c>
      <c r="Y22" s="117">
        <f t="shared" si="19"/>
        <v>0</v>
      </c>
      <c r="Z22" s="117">
        <f t="shared" si="20"/>
        <v>0</v>
      </c>
      <c r="AA22" s="144">
        <f t="shared" si="5"/>
        <v>0</v>
      </c>
      <c r="AC22" s="117">
        <f t="shared" si="6"/>
        <v>0</v>
      </c>
      <c r="AD22" s="117">
        <f t="shared" si="6"/>
        <v>0</v>
      </c>
      <c r="AE22" s="117">
        <f t="shared" si="7"/>
        <v>0</v>
      </c>
      <c r="AF22" s="117">
        <f t="shared" si="8"/>
        <v>0</v>
      </c>
      <c r="AG22" s="117">
        <f t="shared" si="8"/>
        <v>0</v>
      </c>
      <c r="AH22" s="117">
        <f t="shared" si="8"/>
        <v>0</v>
      </c>
      <c r="AI22" s="117">
        <f t="shared" si="8"/>
        <v>0</v>
      </c>
      <c r="AJ22" s="117">
        <f t="shared" si="8"/>
        <v>0</v>
      </c>
      <c r="AK22" s="145">
        <f t="shared" si="21"/>
        <v>0</v>
      </c>
      <c r="AM22">
        <v>10</v>
      </c>
      <c r="AN22" s="150">
        <v>0.72</v>
      </c>
      <c r="AO22">
        <v>10</v>
      </c>
      <c r="AP22" s="150">
        <v>0.46</v>
      </c>
      <c r="AR22" s="1">
        <f>IF($C22&gt;=0,入力!$W$35,0)</f>
        <v>0</v>
      </c>
      <c r="AS22" s="140">
        <f t="shared" si="23"/>
        <v>3500</v>
      </c>
      <c r="AT22" s="1">
        <f t="shared" si="22"/>
        <v>0</v>
      </c>
    </row>
    <row r="23" spans="1:46" x14ac:dyDescent="0.25">
      <c r="A23" t="str">
        <f t="shared" si="9"/>
        <v>マンション</v>
      </c>
      <c r="B23" s="118">
        <f>住居!B16</f>
        <v>34</v>
      </c>
      <c r="C23" s="118">
        <f>住居!C16</f>
        <v>0</v>
      </c>
      <c r="D23" s="118">
        <f t="shared" si="10"/>
        <v>6.1556099355342102</v>
      </c>
      <c r="E23" s="1">
        <f t="shared" si="11"/>
        <v>6.1556099355342102</v>
      </c>
      <c r="F23" s="1">
        <f t="shared" si="12"/>
        <v>-28.978916731132454</v>
      </c>
      <c r="H23" s="112">
        <f t="shared" si="13"/>
        <v>18</v>
      </c>
      <c r="I23" s="112">
        <f t="shared" si="3"/>
        <v>14.399999999999999</v>
      </c>
      <c r="J23" s="112">
        <f t="shared" si="3"/>
        <v>0</v>
      </c>
      <c r="K23" s="86"/>
      <c r="L23" s="86"/>
      <c r="M23" s="112">
        <f t="shared" si="14"/>
        <v>-33.814400064465786</v>
      </c>
      <c r="N23" s="117">
        <f t="shared" si="15"/>
        <v>6.3033599999999987</v>
      </c>
      <c r="O23" s="117">
        <f t="shared" si="16"/>
        <v>1.2666499999999996</v>
      </c>
      <c r="P23" s="112">
        <f t="shared" si="17"/>
        <v>6.1556099355342102</v>
      </c>
      <c r="R23" s="117">
        <f t="shared" si="24"/>
        <v>0</v>
      </c>
      <c r="S23" s="117">
        <f t="shared" si="4"/>
        <v>0</v>
      </c>
      <c r="T23" s="117">
        <f t="shared" si="4"/>
        <v>0</v>
      </c>
      <c r="U23" s="117">
        <f t="shared" si="4"/>
        <v>0</v>
      </c>
      <c r="V23" s="117">
        <f t="shared" si="4"/>
        <v>0</v>
      </c>
      <c r="W23" s="117">
        <f t="shared" si="4"/>
        <v>0</v>
      </c>
      <c r="X23" s="112">
        <f t="shared" si="18"/>
        <v>-33.814400064465786</v>
      </c>
      <c r="Y23" s="117">
        <f t="shared" si="19"/>
        <v>2.2637999999999998</v>
      </c>
      <c r="Z23" s="117">
        <f t="shared" si="20"/>
        <v>2.5716833333333322</v>
      </c>
      <c r="AA23" s="144">
        <f t="shared" si="5"/>
        <v>-28.978916731132454</v>
      </c>
      <c r="AC23" s="117">
        <f t="shared" si="6"/>
        <v>2.0670391061452515</v>
      </c>
      <c r="AD23" s="117">
        <f t="shared" si="6"/>
        <v>3.6592178770949721</v>
      </c>
      <c r="AE23" s="117">
        <f t="shared" si="7"/>
        <v>0</v>
      </c>
      <c r="AF23" s="117">
        <f t="shared" ref="AF23:AJ32" si="25">IF($C23&gt;=0,AF$5,0)</f>
        <v>2.9888268156424584</v>
      </c>
      <c r="AG23" s="117">
        <f t="shared" si="25"/>
        <v>1.4245810055865924</v>
      </c>
      <c r="AH23" s="117">
        <f t="shared" si="25"/>
        <v>0.83798882681564257</v>
      </c>
      <c r="AI23" s="117">
        <f t="shared" si="25"/>
        <v>1.8156424581005588</v>
      </c>
      <c r="AJ23" s="117">
        <f t="shared" si="25"/>
        <v>1.3128491620111733</v>
      </c>
      <c r="AK23" s="145">
        <f t="shared" si="21"/>
        <v>14.106145251396651</v>
      </c>
      <c r="AM23">
        <v>11</v>
      </c>
      <c r="AN23" s="150">
        <v>0.69</v>
      </c>
      <c r="AO23">
        <v>11</v>
      </c>
      <c r="AP23" s="150">
        <v>0.44</v>
      </c>
      <c r="AR23" s="1">
        <f>IF($C23&gt;=0,入力!$W$35,0)</f>
        <v>118.55999355342125</v>
      </c>
      <c r="AS23" s="140">
        <f t="shared" si="23"/>
        <v>3381.4400064465785</v>
      </c>
      <c r="AT23" s="1">
        <f t="shared" si="22"/>
        <v>33.814400064465786</v>
      </c>
    </row>
    <row r="24" spans="1:46" x14ac:dyDescent="0.25">
      <c r="A24" t="str">
        <f t="shared" si="9"/>
        <v>マンション</v>
      </c>
      <c r="B24" s="118">
        <f>住居!B17</f>
        <v>35</v>
      </c>
      <c r="C24" s="118">
        <f>住居!C17</f>
        <v>1</v>
      </c>
      <c r="D24" s="118">
        <f t="shared" si="10"/>
        <v>7.1442298710684247</v>
      </c>
      <c r="E24" s="1">
        <f t="shared" si="11"/>
        <v>7.1442298710684247</v>
      </c>
      <c r="F24" s="1">
        <f t="shared" si="12"/>
        <v>-27.934804295598241</v>
      </c>
      <c r="H24" s="112">
        <f t="shared" si="13"/>
        <v>18</v>
      </c>
      <c r="I24" s="112">
        <f t="shared" si="3"/>
        <v>14.399999999999999</v>
      </c>
      <c r="J24" s="112">
        <f t="shared" si="3"/>
        <v>0</v>
      </c>
      <c r="K24" s="86"/>
      <c r="L24" s="86"/>
      <c r="M24" s="112">
        <f t="shared" si="14"/>
        <v>-32.628800128931573</v>
      </c>
      <c r="N24" s="117">
        <f t="shared" si="15"/>
        <v>6.1063799999999997</v>
      </c>
      <c r="O24" s="117">
        <f t="shared" si="16"/>
        <v>1.2666499999999996</v>
      </c>
      <c r="P24" s="112">
        <f t="shared" si="17"/>
        <v>7.1442298710684247</v>
      </c>
      <c r="R24" s="117">
        <f t="shared" si="24"/>
        <v>0</v>
      </c>
      <c r="S24" s="117">
        <f t="shared" si="4"/>
        <v>0</v>
      </c>
      <c r="T24" s="117">
        <f t="shared" si="4"/>
        <v>0</v>
      </c>
      <c r="U24" s="117">
        <f t="shared" si="4"/>
        <v>0</v>
      </c>
      <c r="V24" s="117">
        <f t="shared" si="4"/>
        <v>0</v>
      </c>
      <c r="W24" s="117">
        <f t="shared" si="4"/>
        <v>0</v>
      </c>
      <c r="X24" s="112">
        <f t="shared" si="18"/>
        <v>-32.628800128931573</v>
      </c>
      <c r="Y24" s="117">
        <f t="shared" si="19"/>
        <v>2.1223124999999996</v>
      </c>
      <c r="Z24" s="117">
        <f t="shared" si="20"/>
        <v>2.5716833333333322</v>
      </c>
      <c r="AA24" s="144">
        <f t="shared" si="5"/>
        <v>-27.934804295598241</v>
      </c>
      <c r="AC24" s="117">
        <f t="shared" si="6"/>
        <v>2.0670391061452515</v>
      </c>
      <c r="AD24" s="117">
        <f t="shared" si="6"/>
        <v>3.6592178770949721</v>
      </c>
      <c r="AE24" s="117">
        <f t="shared" si="7"/>
        <v>0</v>
      </c>
      <c r="AF24" s="117">
        <f t="shared" si="25"/>
        <v>2.9888268156424584</v>
      </c>
      <c r="AG24" s="117">
        <f t="shared" si="25"/>
        <v>1.4245810055865924</v>
      </c>
      <c r="AH24" s="117">
        <f t="shared" si="25"/>
        <v>0.83798882681564257</v>
      </c>
      <c r="AI24" s="117">
        <f t="shared" si="25"/>
        <v>1.8156424581005588</v>
      </c>
      <c r="AJ24" s="117">
        <f t="shared" si="25"/>
        <v>1.3128491620111733</v>
      </c>
      <c r="AK24" s="145">
        <f t="shared" si="21"/>
        <v>14.106145251396651</v>
      </c>
      <c r="AM24">
        <v>12</v>
      </c>
      <c r="AN24" s="150">
        <v>0.67</v>
      </c>
      <c r="AO24">
        <v>12</v>
      </c>
      <c r="AP24" s="150">
        <v>0.41</v>
      </c>
      <c r="AR24" s="1">
        <f>IF($C24&gt;=0,入力!$W$35,0)</f>
        <v>118.55999355342125</v>
      </c>
      <c r="AS24" s="140">
        <f t="shared" si="23"/>
        <v>3262.8800128931571</v>
      </c>
      <c r="AT24" s="1">
        <f t="shared" si="22"/>
        <v>32.628800128931573</v>
      </c>
    </row>
    <row r="25" spans="1:46" x14ac:dyDescent="0.25">
      <c r="A25" t="str">
        <f t="shared" si="9"/>
        <v>マンション</v>
      </c>
      <c r="B25" s="118">
        <f>住居!B18</f>
        <v>36</v>
      </c>
      <c r="C25" s="118">
        <f>住居!C18</f>
        <v>2</v>
      </c>
      <c r="D25" s="118">
        <f t="shared" si="10"/>
        <v>8.1328498066026409</v>
      </c>
      <c r="E25" s="1">
        <f t="shared" si="11"/>
        <v>8.1328498066026409</v>
      </c>
      <c r="F25" s="1">
        <f t="shared" si="12"/>
        <v>-26.890691860064024</v>
      </c>
      <c r="H25" s="112">
        <f t="shared" si="13"/>
        <v>18</v>
      </c>
      <c r="I25" s="112">
        <f t="shared" si="3"/>
        <v>14.399999999999999</v>
      </c>
      <c r="J25" s="112">
        <f t="shared" si="3"/>
        <v>0</v>
      </c>
      <c r="K25" s="86"/>
      <c r="L25" s="86"/>
      <c r="M25" s="112">
        <f t="shared" si="14"/>
        <v>-31.443200193397356</v>
      </c>
      <c r="N25" s="117">
        <f t="shared" si="15"/>
        <v>5.9093999999999989</v>
      </c>
      <c r="O25" s="117">
        <f t="shared" si="16"/>
        <v>1.2666499999999996</v>
      </c>
      <c r="P25" s="112">
        <f t="shared" si="17"/>
        <v>8.1328498066026409</v>
      </c>
      <c r="R25" s="117">
        <f t="shared" si="24"/>
        <v>0</v>
      </c>
      <c r="S25" s="117">
        <f t="shared" si="4"/>
        <v>0</v>
      </c>
      <c r="T25" s="117">
        <f t="shared" si="4"/>
        <v>0</v>
      </c>
      <c r="U25" s="117">
        <f t="shared" si="4"/>
        <v>0</v>
      </c>
      <c r="V25" s="117">
        <f t="shared" si="4"/>
        <v>0</v>
      </c>
      <c r="W25" s="117">
        <f t="shared" si="4"/>
        <v>0</v>
      </c>
      <c r="X25" s="112">
        <f t="shared" si="18"/>
        <v>-31.443200193397356</v>
      </c>
      <c r="Y25" s="117">
        <f t="shared" si="19"/>
        <v>1.9808249999999996</v>
      </c>
      <c r="Z25" s="117">
        <f t="shared" si="20"/>
        <v>2.5716833333333322</v>
      </c>
      <c r="AA25" s="144">
        <f t="shared" si="5"/>
        <v>-26.890691860064024</v>
      </c>
      <c r="AC25" s="117">
        <f t="shared" si="6"/>
        <v>2.0670391061452515</v>
      </c>
      <c r="AD25" s="117">
        <f t="shared" si="6"/>
        <v>3.6592178770949721</v>
      </c>
      <c r="AE25" s="117">
        <f t="shared" si="7"/>
        <v>0</v>
      </c>
      <c r="AF25" s="117">
        <f t="shared" si="25"/>
        <v>2.9888268156424584</v>
      </c>
      <c r="AG25" s="117">
        <f t="shared" si="25"/>
        <v>1.4245810055865924</v>
      </c>
      <c r="AH25" s="117">
        <f t="shared" si="25"/>
        <v>0.83798882681564257</v>
      </c>
      <c r="AI25" s="117">
        <f t="shared" si="25"/>
        <v>1.8156424581005588</v>
      </c>
      <c r="AJ25" s="117">
        <f t="shared" si="25"/>
        <v>1.3128491620111733</v>
      </c>
      <c r="AK25" s="145">
        <f t="shared" si="21"/>
        <v>14.106145251396651</v>
      </c>
      <c r="AM25">
        <v>13</v>
      </c>
      <c r="AN25" s="150">
        <v>0.65</v>
      </c>
      <c r="AO25">
        <v>13</v>
      </c>
      <c r="AP25" s="150">
        <v>0.38</v>
      </c>
      <c r="AR25" s="1">
        <f>IF($C25&gt;=0,入力!$W$35,0)</f>
        <v>118.55999355342125</v>
      </c>
      <c r="AS25" s="140">
        <f t="shared" si="23"/>
        <v>3144.3200193397356</v>
      </c>
      <c r="AT25" s="1">
        <f t="shared" si="22"/>
        <v>31.443200193397356</v>
      </c>
    </row>
    <row r="26" spans="1:46" x14ac:dyDescent="0.25">
      <c r="A26" t="str">
        <f t="shared" si="9"/>
        <v>マンション</v>
      </c>
      <c r="B26" s="118">
        <f>住居!B19</f>
        <v>37</v>
      </c>
      <c r="C26" s="118">
        <f>住居!C19</f>
        <v>3</v>
      </c>
      <c r="D26" s="118">
        <f t="shared" si="10"/>
        <v>9.1871297421368556</v>
      </c>
      <c r="E26" s="1">
        <f t="shared" si="11"/>
        <v>9.1871297421368556</v>
      </c>
      <c r="F26" s="1">
        <f t="shared" si="12"/>
        <v>-25.789984424529809</v>
      </c>
      <c r="H26" s="112">
        <f t="shared" si="13"/>
        <v>18</v>
      </c>
      <c r="I26" s="112">
        <f t="shared" si="3"/>
        <v>14.399999999999999</v>
      </c>
      <c r="J26" s="112">
        <f t="shared" si="3"/>
        <v>0</v>
      </c>
      <c r="K26" s="86"/>
      <c r="L26" s="86"/>
      <c r="M26" s="112">
        <f t="shared" si="14"/>
        <v>-30.257600257863142</v>
      </c>
      <c r="N26" s="117">
        <f t="shared" si="15"/>
        <v>5.7780799999999992</v>
      </c>
      <c r="O26" s="117">
        <f t="shared" si="16"/>
        <v>1.2666499999999996</v>
      </c>
      <c r="P26" s="112">
        <f t="shared" si="17"/>
        <v>9.1871297421368556</v>
      </c>
      <c r="R26" s="117">
        <f t="shared" si="24"/>
        <v>0</v>
      </c>
      <c r="S26" s="117">
        <f t="shared" si="4"/>
        <v>0</v>
      </c>
      <c r="T26" s="117">
        <f t="shared" si="4"/>
        <v>0</v>
      </c>
      <c r="U26" s="117">
        <f t="shared" si="4"/>
        <v>0</v>
      </c>
      <c r="V26" s="117">
        <f t="shared" si="4"/>
        <v>0</v>
      </c>
      <c r="W26" s="117">
        <f t="shared" si="4"/>
        <v>0</v>
      </c>
      <c r="X26" s="112">
        <f t="shared" si="18"/>
        <v>-30.257600257863142</v>
      </c>
      <c r="Y26" s="117">
        <f t="shared" si="19"/>
        <v>1.8959325</v>
      </c>
      <c r="Z26" s="117">
        <f t="shared" si="20"/>
        <v>2.5716833333333322</v>
      </c>
      <c r="AA26" s="144">
        <f t="shared" si="5"/>
        <v>-25.789984424529809</v>
      </c>
      <c r="AC26" s="117">
        <f t="shared" si="6"/>
        <v>2.0670391061452515</v>
      </c>
      <c r="AD26" s="117">
        <f t="shared" si="6"/>
        <v>3.6592178770949721</v>
      </c>
      <c r="AE26" s="117">
        <f t="shared" si="7"/>
        <v>0</v>
      </c>
      <c r="AF26" s="117">
        <f t="shared" si="25"/>
        <v>2.9888268156424584</v>
      </c>
      <c r="AG26" s="117">
        <f t="shared" si="25"/>
        <v>1.4245810055865924</v>
      </c>
      <c r="AH26" s="117">
        <f t="shared" si="25"/>
        <v>0.83798882681564257</v>
      </c>
      <c r="AI26" s="117">
        <f t="shared" si="25"/>
        <v>1.8156424581005588</v>
      </c>
      <c r="AJ26" s="117">
        <f t="shared" si="25"/>
        <v>1.3128491620111733</v>
      </c>
      <c r="AK26" s="145">
        <f t="shared" si="21"/>
        <v>14.106145251396651</v>
      </c>
      <c r="AM26">
        <v>14</v>
      </c>
      <c r="AN26" s="150">
        <v>0.62</v>
      </c>
      <c r="AO26">
        <v>14</v>
      </c>
      <c r="AP26" s="150">
        <v>0.35</v>
      </c>
      <c r="AR26" s="1">
        <f>IF($C26&gt;=0,入力!$W$35,0)</f>
        <v>118.55999355342125</v>
      </c>
      <c r="AS26" s="140">
        <f t="shared" si="23"/>
        <v>3025.7600257863141</v>
      </c>
      <c r="AT26" s="1">
        <f t="shared" si="22"/>
        <v>30.257600257863142</v>
      </c>
    </row>
    <row r="27" spans="1:46" x14ac:dyDescent="0.25">
      <c r="A27" t="str">
        <f t="shared" si="9"/>
        <v>マンション</v>
      </c>
      <c r="B27" s="118">
        <f>住居!B20</f>
        <v>38</v>
      </c>
      <c r="C27" s="118">
        <f>住居!C20</f>
        <v>4</v>
      </c>
      <c r="D27" s="118">
        <f t="shared" si="10"/>
        <v>10.241409677671069</v>
      </c>
      <c r="E27" s="1">
        <f t="shared" si="11"/>
        <v>10.241409677671069</v>
      </c>
      <c r="F27" s="1">
        <f t="shared" si="12"/>
        <v>-22.878236988995596</v>
      </c>
      <c r="H27" s="112">
        <f t="shared" si="13"/>
        <v>18</v>
      </c>
      <c r="I27" s="112">
        <f t="shared" si="3"/>
        <v>14.399999999999999</v>
      </c>
      <c r="J27" s="112">
        <f t="shared" si="3"/>
        <v>0</v>
      </c>
      <c r="K27" s="86"/>
      <c r="L27" s="86"/>
      <c r="M27" s="112">
        <f t="shared" si="14"/>
        <v>-29.072000322328929</v>
      </c>
      <c r="N27" s="117">
        <f t="shared" si="15"/>
        <v>5.6467599999999987</v>
      </c>
      <c r="O27" s="117">
        <f t="shared" si="16"/>
        <v>1.2666499999999996</v>
      </c>
      <c r="P27" s="112">
        <f t="shared" si="17"/>
        <v>10.241409677671069</v>
      </c>
      <c r="R27" s="117">
        <f t="shared" si="24"/>
        <v>0</v>
      </c>
      <c r="S27" s="117">
        <f t="shared" si="4"/>
        <v>0</v>
      </c>
      <c r="T27" s="117">
        <f t="shared" si="4"/>
        <v>0</v>
      </c>
      <c r="U27" s="117">
        <f t="shared" si="4"/>
        <v>0</v>
      </c>
      <c r="V27" s="117">
        <f t="shared" si="4"/>
        <v>0</v>
      </c>
      <c r="W27" s="117">
        <f t="shared" si="4"/>
        <v>0</v>
      </c>
      <c r="X27" s="112">
        <f t="shared" si="18"/>
        <v>-29.072000322328929</v>
      </c>
      <c r="Y27" s="117">
        <f t="shared" si="19"/>
        <v>3.62208</v>
      </c>
      <c r="Z27" s="117">
        <f t="shared" si="20"/>
        <v>2.5716833333333322</v>
      </c>
      <c r="AA27" s="144">
        <f t="shared" si="5"/>
        <v>-22.878236988995596</v>
      </c>
      <c r="AC27" s="117">
        <f t="shared" si="6"/>
        <v>2.0670391061452515</v>
      </c>
      <c r="AD27" s="117">
        <f t="shared" si="6"/>
        <v>3.6592178770949721</v>
      </c>
      <c r="AE27" s="117">
        <f t="shared" si="7"/>
        <v>0</v>
      </c>
      <c r="AF27" s="117">
        <f t="shared" si="25"/>
        <v>2.9888268156424584</v>
      </c>
      <c r="AG27" s="117">
        <f t="shared" si="25"/>
        <v>1.4245810055865924</v>
      </c>
      <c r="AH27" s="117">
        <f t="shared" si="25"/>
        <v>0.83798882681564257</v>
      </c>
      <c r="AI27" s="117">
        <f t="shared" si="25"/>
        <v>1.8156424581005588</v>
      </c>
      <c r="AJ27" s="117">
        <f t="shared" si="25"/>
        <v>1.3128491620111733</v>
      </c>
      <c r="AK27" s="145">
        <f t="shared" si="21"/>
        <v>14.106145251396651</v>
      </c>
      <c r="AM27">
        <v>15</v>
      </c>
      <c r="AN27" s="150">
        <v>0.6</v>
      </c>
      <c r="AO27">
        <v>15</v>
      </c>
      <c r="AP27" s="150">
        <v>0.32</v>
      </c>
      <c r="AR27" s="1">
        <f>IF($C27&gt;=0,入力!$W$35,0)</f>
        <v>118.55999355342125</v>
      </c>
      <c r="AS27" s="140">
        <f t="shared" si="23"/>
        <v>2907.2000322328927</v>
      </c>
      <c r="AT27" s="1">
        <f t="shared" si="22"/>
        <v>29.072000322328929</v>
      </c>
    </row>
    <row r="28" spans="1:46" x14ac:dyDescent="0.25">
      <c r="A28" t="str">
        <f t="shared" si="9"/>
        <v>マンション</v>
      </c>
      <c r="B28" s="118">
        <f>住居!B21</f>
        <v>39</v>
      </c>
      <c r="C28" s="118">
        <f>住居!C21</f>
        <v>5</v>
      </c>
      <c r="D28" s="118">
        <f t="shared" si="10"/>
        <v>11.230029613205286</v>
      </c>
      <c r="E28" s="1">
        <f t="shared" si="11"/>
        <v>11.230029613205286</v>
      </c>
      <c r="F28" s="1">
        <f t="shared" si="12"/>
        <v>69.566149375110044</v>
      </c>
      <c r="H28" s="112">
        <f t="shared" si="13"/>
        <v>18</v>
      </c>
      <c r="I28" s="112">
        <f t="shared" si="3"/>
        <v>14.399999999999999</v>
      </c>
      <c r="J28" s="112">
        <f t="shared" si="3"/>
        <v>0</v>
      </c>
      <c r="K28" s="86"/>
      <c r="L28" s="86"/>
      <c r="M28" s="112">
        <f t="shared" si="14"/>
        <v>-27.886400386794712</v>
      </c>
      <c r="N28" s="117">
        <f t="shared" si="15"/>
        <v>5.4497799999999987</v>
      </c>
      <c r="O28" s="117">
        <f t="shared" si="16"/>
        <v>1.2666499999999996</v>
      </c>
      <c r="P28" s="112">
        <f t="shared" si="17"/>
        <v>11.230029613205286</v>
      </c>
      <c r="R28" s="117">
        <f t="shared" si="24"/>
        <v>40</v>
      </c>
      <c r="S28" s="117">
        <f t="shared" si="4"/>
        <v>14.285714285714286</v>
      </c>
      <c r="T28" s="117">
        <f t="shared" si="4"/>
        <v>8.5714285714285712</v>
      </c>
      <c r="U28" s="117">
        <f t="shared" si="4"/>
        <v>20</v>
      </c>
      <c r="V28" s="117">
        <f t="shared" si="4"/>
        <v>0</v>
      </c>
      <c r="W28" s="117">
        <f t="shared" si="4"/>
        <v>8.5714285714285712</v>
      </c>
      <c r="X28" s="112">
        <f t="shared" si="18"/>
        <v>-27.886400386794712</v>
      </c>
      <c r="Y28" s="117">
        <f t="shared" si="19"/>
        <v>3.4522949999999994</v>
      </c>
      <c r="Z28" s="117">
        <f t="shared" si="20"/>
        <v>2.5716833333333322</v>
      </c>
      <c r="AA28" s="144">
        <f t="shared" si="5"/>
        <v>69.566149375110044</v>
      </c>
      <c r="AC28" s="117">
        <f t="shared" si="6"/>
        <v>2.0670391061452515</v>
      </c>
      <c r="AD28" s="117">
        <f t="shared" si="6"/>
        <v>3.6592178770949721</v>
      </c>
      <c r="AE28" s="117">
        <f t="shared" si="7"/>
        <v>0</v>
      </c>
      <c r="AF28" s="117">
        <f t="shared" si="25"/>
        <v>2.9888268156424584</v>
      </c>
      <c r="AG28" s="117">
        <f t="shared" si="25"/>
        <v>1.4245810055865924</v>
      </c>
      <c r="AH28" s="117">
        <f t="shared" si="25"/>
        <v>0.83798882681564257</v>
      </c>
      <c r="AI28" s="117">
        <f t="shared" si="25"/>
        <v>1.8156424581005588</v>
      </c>
      <c r="AJ28" s="117">
        <f t="shared" si="25"/>
        <v>1.3128491620111733</v>
      </c>
      <c r="AK28" s="145">
        <f t="shared" si="21"/>
        <v>14.106145251396651</v>
      </c>
      <c r="AM28">
        <v>16</v>
      </c>
      <c r="AN28" s="150">
        <v>0.57999999999999996</v>
      </c>
      <c r="AO28">
        <v>16</v>
      </c>
      <c r="AP28" s="150">
        <v>0.28999999999999998</v>
      </c>
      <c r="AR28" s="1">
        <f>IF($C28&gt;=0,入力!$W$35,0)</f>
        <v>118.55999355342125</v>
      </c>
      <c r="AS28" s="140">
        <f t="shared" si="23"/>
        <v>2788.6400386794712</v>
      </c>
      <c r="AT28" s="1">
        <f t="shared" si="22"/>
        <v>27.886400386794712</v>
      </c>
    </row>
    <row r="29" spans="1:46" x14ac:dyDescent="0.25">
      <c r="A29" t="str">
        <f t="shared" si="9"/>
        <v>マンション</v>
      </c>
      <c r="B29" s="118">
        <f>住居!B22</f>
        <v>40</v>
      </c>
      <c r="C29" s="118">
        <f>住居!C22</f>
        <v>6</v>
      </c>
      <c r="D29" s="118">
        <f t="shared" si="10"/>
        <v>17.602769548739495</v>
      </c>
      <c r="E29" s="1">
        <f t="shared" si="11"/>
        <v>17.602769548739495</v>
      </c>
      <c r="F29" s="1">
        <f t="shared" si="12"/>
        <v>-20.846607117927167</v>
      </c>
      <c r="H29" s="112">
        <f t="shared" si="13"/>
        <v>18</v>
      </c>
      <c r="I29" s="112">
        <f t="shared" si="3"/>
        <v>14.399999999999999</v>
      </c>
      <c r="J29" s="112">
        <f t="shared" si="3"/>
        <v>0</v>
      </c>
      <c r="K29" s="86"/>
      <c r="L29" s="86"/>
      <c r="M29" s="112">
        <f t="shared" si="14"/>
        <v>-26.700800451260498</v>
      </c>
      <c r="N29" s="117">
        <f t="shared" si="15"/>
        <v>10.636919999999998</v>
      </c>
      <c r="O29" s="117">
        <f t="shared" si="16"/>
        <v>1.2666499999999996</v>
      </c>
      <c r="P29" s="112">
        <f t="shared" si="17"/>
        <v>17.602769548739495</v>
      </c>
      <c r="R29" s="117">
        <f t="shared" si="24"/>
        <v>0</v>
      </c>
      <c r="S29" s="117">
        <f t="shared" si="24"/>
        <v>0</v>
      </c>
      <c r="T29" s="117">
        <f t="shared" si="24"/>
        <v>0</v>
      </c>
      <c r="U29" s="117">
        <f t="shared" si="24"/>
        <v>0</v>
      </c>
      <c r="V29" s="117">
        <f t="shared" si="24"/>
        <v>0</v>
      </c>
      <c r="W29" s="117">
        <f t="shared" si="24"/>
        <v>0</v>
      </c>
      <c r="X29" s="112">
        <f t="shared" si="18"/>
        <v>-26.700800451260498</v>
      </c>
      <c r="Y29" s="117">
        <f t="shared" si="19"/>
        <v>3.2825099999999994</v>
      </c>
      <c r="Z29" s="117">
        <f t="shared" si="20"/>
        <v>2.5716833333333322</v>
      </c>
      <c r="AA29" s="144">
        <f t="shared" si="5"/>
        <v>-20.846607117927167</v>
      </c>
      <c r="AC29" s="117">
        <f t="shared" si="6"/>
        <v>2.0670391061452515</v>
      </c>
      <c r="AD29" s="117">
        <f t="shared" si="6"/>
        <v>3.6592178770949721</v>
      </c>
      <c r="AE29" s="117">
        <f t="shared" si="7"/>
        <v>0</v>
      </c>
      <c r="AF29" s="117">
        <f t="shared" si="25"/>
        <v>2.9888268156424584</v>
      </c>
      <c r="AG29" s="117">
        <f t="shared" si="25"/>
        <v>1.4245810055865924</v>
      </c>
      <c r="AH29" s="117">
        <f t="shared" si="25"/>
        <v>0.83798882681564257</v>
      </c>
      <c r="AI29" s="117">
        <f t="shared" si="25"/>
        <v>1.8156424581005588</v>
      </c>
      <c r="AJ29" s="117">
        <f t="shared" si="25"/>
        <v>1.3128491620111733</v>
      </c>
      <c r="AK29" s="145">
        <f t="shared" si="21"/>
        <v>14.106145251396651</v>
      </c>
      <c r="AM29">
        <v>17</v>
      </c>
      <c r="AN29" s="150">
        <v>0.55000000000000004</v>
      </c>
      <c r="AO29">
        <v>17</v>
      </c>
      <c r="AP29" s="150">
        <v>0.26</v>
      </c>
      <c r="AR29" s="1">
        <f>IF($C29&gt;=0,入力!$W$35,0)</f>
        <v>118.55999355342125</v>
      </c>
      <c r="AS29" s="140">
        <f t="shared" si="23"/>
        <v>2670.0800451260498</v>
      </c>
      <c r="AT29" s="1">
        <f t="shared" si="22"/>
        <v>26.700800451260498</v>
      </c>
    </row>
    <row r="30" spans="1:46" x14ac:dyDescent="0.25">
      <c r="A30" t="str">
        <f t="shared" si="9"/>
        <v>マンション</v>
      </c>
      <c r="B30" s="118">
        <f>住居!B23</f>
        <v>41</v>
      </c>
      <c r="C30" s="118">
        <f>住居!C23</f>
        <v>7</v>
      </c>
      <c r="D30" s="118">
        <f t="shared" si="10"/>
        <v>18.525729484273711</v>
      </c>
      <c r="E30" s="1">
        <f t="shared" si="11"/>
        <v>18.525729484273711</v>
      </c>
      <c r="F30" s="1">
        <f t="shared" si="12"/>
        <v>-19.830792182392951</v>
      </c>
      <c r="H30" s="112">
        <f t="shared" si="13"/>
        <v>18</v>
      </c>
      <c r="I30" s="112">
        <f t="shared" si="3"/>
        <v>14.399999999999999</v>
      </c>
      <c r="J30" s="112">
        <f t="shared" si="3"/>
        <v>0</v>
      </c>
      <c r="K30" s="86"/>
      <c r="L30" s="86"/>
      <c r="M30" s="112">
        <f t="shared" si="14"/>
        <v>-25.515200515726285</v>
      </c>
      <c r="N30" s="117">
        <f t="shared" si="15"/>
        <v>10.374279999999999</v>
      </c>
      <c r="O30" s="117">
        <f t="shared" si="16"/>
        <v>1.2666499999999996</v>
      </c>
      <c r="P30" s="112">
        <f t="shared" si="17"/>
        <v>18.525729484273711</v>
      </c>
      <c r="R30" s="117">
        <f t="shared" si="24"/>
        <v>0</v>
      </c>
      <c r="S30" s="117">
        <f t="shared" si="24"/>
        <v>0</v>
      </c>
      <c r="T30" s="117">
        <f t="shared" si="24"/>
        <v>0</v>
      </c>
      <c r="U30" s="117">
        <f t="shared" si="24"/>
        <v>0</v>
      </c>
      <c r="V30" s="117">
        <f t="shared" si="24"/>
        <v>0</v>
      </c>
      <c r="W30" s="117">
        <f t="shared" si="24"/>
        <v>0</v>
      </c>
      <c r="X30" s="112">
        <f t="shared" si="18"/>
        <v>-25.515200515726285</v>
      </c>
      <c r="Y30" s="117">
        <f t="shared" si="19"/>
        <v>3.1127250000000002</v>
      </c>
      <c r="Z30" s="117">
        <f t="shared" si="20"/>
        <v>2.5716833333333322</v>
      </c>
      <c r="AA30" s="144">
        <f t="shared" si="5"/>
        <v>-19.830792182392951</v>
      </c>
      <c r="AC30" s="117">
        <f t="shared" si="6"/>
        <v>2.0670391061452515</v>
      </c>
      <c r="AD30" s="117">
        <f t="shared" si="6"/>
        <v>3.6592178770949721</v>
      </c>
      <c r="AE30" s="117">
        <f t="shared" si="7"/>
        <v>0</v>
      </c>
      <c r="AF30" s="117">
        <f t="shared" si="25"/>
        <v>2.9888268156424584</v>
      </c>
      <c r="AG30" s="117">
        <f t="shared" si="25"/>
        <v>1.4245810055865924</v>
      </c>
      <c r="AH30" s="117">
        <f t="shared" si="25"/>
        <v>0.83798882681564257</v>
      </c>
      <c r="AI30" s="117">
        <f t="shared" si="25"/>
        <v>1.8156424581005588</v>
      </c>
      <c r="AJ30" s="117">
        <f t="shared" si="25"/>
        <v>1.3128491620111733</v>
      </c>
      <c r="AK30" s="145">
        <f t="shared" si="21"/>
        <v>14.106145251396651</v>
      </c>
      <c r="AM30">
        <v>18</v>
      </c>
      <c r="AN30" s="150">
        <v>0.53</v>
      </c>
      <c r="AO30">
        <v>18</v>
      </c>
      <c r="AP30" s="150">
        <v>0.23</v>
      </c>
      <c r="AR30" s="1">
        <f>IF($C30&gt;=0,入力!$W$35,0)</f>
        <v>118.55999355342125</v>
      </c>
      <c r="AS30" s="140">
        <f t="shared" si="23"/>
        <v>2551.5200515726283</v>
      </c>
      <c r="AT30" s="1">
        <f t="shared" si="22"/>
        <v>25.515200515726285</v>
      </c>
    </row>
    <row r="31" spans="1:46" x14ac:dyDescent="0.25">
      <c r="A31" t="str">
        <f t="shared" si="9"/>
        <v>マンション</v>
      </c>
      <c r="B31" s="118">
        <f>住居!B24</f>
        <v>42</v>
      </c>
      <c r="C31" s="118">
        <f>住居!C24</f>
        <v>8</v>
      </c>
      <c r="D31" s="118">
        <f t="shared" si="10"/>
        <v>19.317369419807928</v>
      </c>
      <c r="E31" s="1">
        <f t="shared" si="11"/>
        <v>19.317369419807928</v>
      </c>
      <c r="F31" s="1">
        <f t="shared" si="12"/>
        <v>-18.814977246858735</v>
      </c>
      <c r="H31" s="112">
        <f t="shared" si="13"/>
        <v>18</v>
      </c>
      <c r="I31" s="112">
        <f t="shared" si="3"/>
        <v>14.399999999999999</v>
      </c>
      <c r="J31" s="112">
        <f t="shared" si="3"/>
        <v>0</v>
      </c>
      <c r="K31" s="86"/>
      <c r="L31" s="86"/>
      <c r="M31" s="112">
        <f t="shared" si="14"/>
        <v>-24.329600580192068</v>
      </c>
      <c r="N31" s="117">
        <f t="shared" si="15"/>
        <v>9.980319999999999</v>
      </c>
      <c r="O31" s="117">
        <f t="shared" si="16"/>
        <v>1.2666499999999996</v>
      </c>
      <c r="P31" s="112">
        <f t="shared" si="17"/>
        <v>19.317369419807928</v>
      </c>
      <c r="R31" s="117">
        <f t="shared" ref="R31:W46" si="26">IF($C31&gt;0,IF(MOD($C31,5)=0,R$9*5,0),0)</f>
        <v>0</v>
      </c>
      <c r="S31" s="117">
        <f t="shared" si="26"/>
        <v>0</v>
      </c>
      <c r="T31" s="117">
        <f t="shared" si="26"/>
        <v>0</v>
      </c>
      <c r="U31" s="117">
        <f t="shared" si="26"/>
        <v>0</v>
      </c>
      <c r="V31" s="117">
        <f t="shared" si="26"/>
        <v>0</v>
      </c>
      <c r="W31" s="117">
        <f t="shared" si="26"/>
        <v>0</v>
      </c>
      <c r="X31" s="112">
        <f t="shared" si="18"/>
        <v>-24.329600580192068</v>
      </c>
      <c r="Y31" s="117">
        <f t="shared" si="19"/>
        <v>2.9429399999999997</v>
      </c>
      <c r="Z31" s="117">
        <f t="shared" si="20"/>
        <v>2.5716833333333322</v>
      </c>
      <c r="AA31" s="144">
        <f t="shared" si="5"/>
        <v>-18.814977246858735</v>
      </c>
      <c r="AC31" s="117">
        <f t="shared" si="6"/>
        <v>2.0670391061452515</v>
      </c>
      <c r="AD31" s="117">
        <f t="shared" si="6"/>
        <v>3.6592178770949721</v>
      </c>
      <c r="AE31" s="117">
        <f t="shared" si="7"/>
        <v>0</v>
      </c>
      <c r="AF31" s="117">
        <f t="shared" si="25"/>
        <v>2.9888268156424584</v>
      </c>
      <c r="AG31" s="117">
        <f t="shared" si="25"/>
        <v>1.4245810055865924</v>
      </c>
      <c r="AH31" s="117">
        <f t="shared" si="25"/>
        <v>0.83798882681564257</v>
      </c>
      <c r="AI31" s="117">
        <f t="shared" si="25"/>
        <v>1.8156424581005588</v>
      </c>
      <c r="AJ31" s="117">
        <f t="shared" si="25"/>
        <v>1.3128491620111733</v>
      </c>
      <c r="AK31" s="145">
        <f t="shared" si="21"/>
        <v>14.106145251396651</v>
      </c>
      <c r="AM31">
        <v>19</v>
      </c>
      <c r="AN31" s="150">
        <v>0.5</v>
      </c>
      <c r="AO31">
        <v>19</v>
      </c>
      <c r="AP31" s="150">
        <v>0.2</v>
      </c>
      <c r="AR31" s="1">
        <f>IF($C31&gt;=0,入力!$W$35,0)</f>
        <v>118.55999355342125</v>
      </c>
      <c r="AS31" s="140">
        <f t="shared" si="23"/>
        <v>2432.9600580192068</v>
      </c>
      <c r="AT31" s="1">
        <f t="shared" si="22"/>
        <v>24.329600580192068</v>
      </c>
    </row>
    <row r="32" spans="1:46" x14ac:dyDescent="0.25">
      <c r="A32" t="str">
        <f t="shared" si="9"/>
        <v>マンション</v>
      </c>
      <c r="B32" s="118">
        <f>住居!B25</f>
        <v>43</v>
      </c>
      <c r="C32" s="118">
        <f>住居!C25</f>
        <v>9</v>
      </c>
      <c r="D32" s="118">
        <f t="shared" si="10"/>
        <v>20.240329355342141</v>
      </c>
      <c r="E32" s="1">
        <f t="shared" si="11"/>
        <v>20.240329355342141</v>
      </c>
      <c r="F32" s="1">
        <f t="shared" si="12"/>
        <v>-17.799162311324523</v>
      </c>
      <c r="H32" s="112">
        <f t="shared" si="13"/>
        <v>18</v>
      </c>
      <c r="I32" s="112">
        <f t="shared" si="3"/>
        <v>14.399999999999999</v>
      </c>
      <c r="J32" s="112">
        <f t="shared" si="3"/>
        <v>0</v>
      </c>
      <c r="K32" s="86"/>
      <c r="L32" s="86"/>
      <c r="M32" s="112">
        <f t="shared" si="14"/>
        <v>-23.144000644657854</v>
      </c>
      <c r="N32" s="117">
        <f t="shared" si="15"/>
        <v>9.7176799999999979</v>
      </c>
      <c r="O32" s="117">
        <f t="shared" si="16"/>
        <v>1.2666499999999996</v>
      </c>
      <c r="P32" s="112">
        <f t="shared" si="17"/>
        <v>20.240329355342141</v>
      </c>
      <c r="R32" s="117">
        <f t="shared" si="26"/>
        <v>0</v>
      </c>
      <c r="S32" s="117">
        <f t="shared" si="26"/>
        <v>0</v>
      </c>
      <c r="T32" s="117">
        <f t="shared" si="26"/>
        <v>0</v>
      </c>
      <c r="U32" s="117">
        <f t="shared" si="26"/>
        <v>0</v>
      </c>
      <c r="V32" s="117">
        <f t="shared" si="26"/>
        <v>0</v>
      </c>
      <c r="W32" s="117">
        <f t="shared" si="26"/>
        <v>0</v>
      </c>
      <c r="X32" s="112">
        <f t="shared" si="18"/>
        <v>-23.144000644657854</v>
      </c>
      <c r="Y32" s="117">
        <f t="shared" si="19"/>
        <v>2.7731549999999996</v>
      </c>
      <c r="Z32" s="117">
        <f t="shared" si="20"/>
        <v>2.5716833333333322</v>
      </c>
      <c r="AA32" s="144">
        <f t="shared" si="5"/>
        <v>-17.799162311324523</v>
      </c>
      <c r="AC32" s="117">
        <f t="shared" si="6"/>
        <v>2.0670391061452515</v>
      </c>
      <c r="AD32" s="117">
        <f t="shared" si="6"/>
        <v>3.6592178770949721</v>
      </c>
      <c r="AE32" s="117">
        <f t="shared" si="7"/>
        <v>0</v>
      </c>
      <c r="AF32" s="117">
        <f t="shared" si="25"/>
        <v>2.9888268156424584</v>
      </c>
      <c r="AG32" s="117">
        <f t="shared" si="25"/>
        <v>1.4245810055865924</v>
      </c>
      <c r="AH32" s="117">
        <f t="shared" si="25"/>
        <v>0.83798882681564257</v>
      </c>
      <c r="AI32" s="117">
        <f t="shared" si="25"/>
        <v>1.8156424581005588</v>
      </c>
      <c r="AJ32" s="117">
        <f t="shared" si="25"/>
        <v>1.3128491620111733</v>
      </c>
      <c r="AK32" s="145">
        <f t="shared" si="21"/>
        <v>14.106145251396651</v>
      </c>
      <c r="AM32">
        <v>20</v>
      </c>
      <c r="AN32" s="150">
        <v>0.48</v>
      </c>
      <c r="AO32">
        <v>20</v>
      </c>
      <c r="AP32" s="150">
        <v>0.2</v>
      </c>
      <c r="AR32" s="1">
        <f>IF($C32&gt;=0,入力!$W$35,0)</f>
        <v>118.55999355342125</v>
      </c>
      <c r="AS32" s="140">
        <f t="shared" si="23"/>
        <v>2314.4000644657854</v>
      </c>
      <c r="AT32" s="1">
        <f t="shared" si="22"/>
        <v>23.144000644657854</v>
      </c>
    </row>
    <row r="33" spans="1:46" x14ac:dyDescent="0.25">
      <c r="A33" t="str">
        <f t="shared" si="9"/>
        <v>マンション</v>
      </c>
      <c r="B33" s="118">
        <f>住居!B26</f>
        <v>44</v>
      </c>
      <c r="C33" s="118">
        <f>住居!C26</f>
        <v>10</v>
      </c>
      <c r="D33" s="118">
        <f t="shared" si="10"/>
        <v>43.121689999999994</v>
      </c>
      <c r="E33" s="1">
        <f t="shared" si="11"/>
        <v>43.121689999999994</v>
      </c>
      <c r="F33" s="1">
        <f t="shared" si="12"/>
        <v>96.603624761904754</v>
      </c>
      <c r="H33" s="112">
        <f t="shared" si="13"/>
        <v>18</v>
      </c>
      <c r="I33" s="112">
        <f t="shared" si="3"/>
        <v>14.399999999999999</v>
      </c>
      <c r="J33" s="112">
        <f t="shared" si="3"/>
        <v>0</v>
      </c>
      <c r="K33" s="86"/>
      <c r="L33" s="86"/>
      <c r="M33" s="112">
        <f t="shared" si="14"/>
        <v>0</v>
      </c>
      <c r="N33" s="117">
        <f t="shared" si="15"/>
        <v>9.4550399999999986</v>
      </c>
      <c r="O33" s="117">
        <f t="shared" si="16"/>
        <v>1.2666499999999996</v>
      </c>
      <c r="P33" s="112">
        <f t="shared" si="17"/>
        <v>43.121689999999994</v>
      </c>
      <c r="R33" s="117">
        <f t="shared" si="26"/>
        <v>40</v>
      </c>
      <c r="S33" s="117">
        <f t="shared" si="26"/>
        <v>14.285714285714286</v>
      </c>
      <c r="T33" s="117">
        <f t="shared" si="26"/>
        <v>8.5714285714285712</v>
      </c>
      <c r="U33" s="117">
        <f t="shared" si="26"/>
        <v>20</v>
      </c>
      <c r="V33" s="117">
        <f t="shared" si="26"/>
        <v>0</v>
      </c>
      <c r="W33" s="117">
        <f t="shared" si="26"/>
        <v>8.5714285714285712</v>
      </c>
      <c r="X33" s="112">
        <f t="shared" si="18"/>
        <v>0</v>
      </c>
      <c r="Y33" s="117">
        <f t="shared" si="19"/>
        <v>2.60337</v>
      </c>
      <c r="Z33" s="117">
        <f t="shared" si="20"/>
        <v>2.5716833333333322</v>
      </c>
      <c r="AA33" s="144">
        <f t="shared" si="5"/>
        <v>96.603624761904754</v>
      </c>
      <c r="AC33" s="117">
        <f t="shared" ref="AC33:AD52" si="27">IF($C33&gt;=0,AC$5,0)</f>
        <v>2.0670391061452515</v>
      </c>
      <c r="AD33" s="117">
        <f t="shared" si="27"/>
        <v>3.6592178770949721</v>
      </c>
      <c r="AE33" s="117">
        <f t="shared" si="7"/>
        <v>0</v>
      </c>
      <c r="AF33" s="117">
        <f t="shared" ref="AF33:AJ42" si="28">IF($C33&gt;=0,AF$5,0)</f>
        <v>2.9888268156424584</v>
      </c>
      <c r="AG33" s="117">
        <f t="shared" si="28"/>
        <v>1.4245810055865924</v>
      </c>
      <c r="AH33" s="117">
        <f t="shared" si="28"/>
        <v>0.83798882681564257</v>
      </c>
      <c r="AI33" s="117">
        <f t="shared" si="28"/>
        <v>1.8156424581005588</v>
      </c>
      <c r="AJ33" s="117">
        <f t="shared" si="28"/>
        <v>1.3128491620111733</v>
      </c>
      <c r="AK33" s="145">
        <f t="shared" si="21"/>
        <v>14.106145251396651</v>
      </c>
      <c r="AM33">
        <v>21</v>
      </c>
      <c r="AN33" s="150">
        <v>0.46</v>
      </c>
      <c r="AO33">
        <v>21</v>
      </c>
      <c r="AP33" s="150">
        <v>0.2</v>
      </c>
      <c r="AR33" s="1">
        <f>IF($C33&gt;=0,入力!$W$35,0)</f>
        <v>118.55999355342125</v>
      </c>
      <c r="AS33" s="140">
        <f t="shared" si="23"/>
        <v>2195.8400709123639</v>
      </c>
      <c r="AT33" s="1">
        <f t="shared" si="22"/>
        <v>0</v>
      </c>
    </row>
    <row r="34" spans="1:46" x14ac:dyDescent="0.25">
      <c r="A34" t="str">
        <f t="shared" si="9"/>
        <v>マンション</v>
      </c>
      <c r="B34" s="118">
        <f>住居!B27</f>
        <v>45</v>
      </c>
      <c r="C34" s="118">
        <f>住居!C27</f>
        <v>11</v>
      </c>
      <c r="D34" s="118">
        <f t="shared" si="10"/>
        <v>42.727729999999994</v>
      </c>
      <c r="E34" s="1">
        <f t="shared" si="11"/>
        <v>42.727729999999994</v>
      </c>
      <c r="F34" s="1">
        <f t="shared" si="12"/>
        <v>5.0618633333333314</v>
      </c>
      <c r="H34" s="112">
        <f t="shared" ref="H34:H53" si="29">IF($C34&gt;=0,H$9,0)</f>
        <v>18</v>
      </c>
      <c r="I34" s="112">
        <f t="shared" si="3"/>
        <v>14.399999999999999</v>
      </c>
      <c r="J34" s="112">
        <f t="shared" si="3"/>
        <v>0</v>
      </c>
      <c r="K34" s="86"/>
      <c r="L34" s="86"/>
      <c r="M34" s="112">
        <f t="shared" si="14"/>
        <v>0</v>
      </c>
      <c r="N34" s="117">
        <f t="shared" si="15"/>
        <v>9.0610799999999987</v>
      </c>
      <c r="O34" s="117">
        <f t="shared" si="16"/>
        <v>1.2666499999999996</v>
      </c>
      <c r="P34" s="112">
        <f t="shared" si="17"/>
        <v>42.727729999999994</v>
      </c>
      <c r="R34" s="117">
        <f t="shared" si="26"/>
        <v>0</v>
      </c>
      <c r="S34" s="117">
        <f t="shared" si="26"/>
        <v>0</v>
      </c>
      <c r="T34" s="117">
        <f t="shared" si="26"/>
        <v>0</v>
      </c>
      <c r="U34" s="117">
        <f t="shared" si="26"/>
        <v>0</v>
      </c>
      <c r="V34" s="117">
        <f t="shared" si="26"/>
        <v>0</v>
      </c>
      <c r="W34" s="117">
        <f t="shared" si="26"/>
        <v>0</v>
      </c>
      <c r="X34" s="112">
        <f t="shared" si="18"/>
        <v>0</v>
      </c>
      <c r="Y34" s="117">
        <f t="shared" si="19"/>
        <v>2.4901799999999996</v>
      </c>
      <c r="Z34" s="117">
        <f t="shared" si="20"/>
        <v>2.5716833333333322</v>
      </c>
      <c r="AA34" s="144">
        <f t="shared" si="5"/>
        <v>5.0618633333333314</v>
      </c>
      <c r="AC34" s="117">
        <f t="shared" si="27"/>
        <v>2.0670391061452515</v>
      </c>
      <c r="AD34" s="117">
        <f t="shared" si="27"/>
        <v>3.6592178770949721</v>
      </c>
      <c r="AE34" s="117">
        <f t="shared" si="7"/>
        <v>0</v>
      </c>
      <c r="AF34" s="117">
        <f t="shared" si="28"/>
        <v>2.9888268156424584</v>
      </c>
      <c r="AG34" s="117">
        <f t="shared" si="28"/>
        <v>1.4245810055865924</v>
      </c>
      <c r="AH34" s="117">
        <f t="shared" si="28"/>
        <v>0.83798882681564257</v>
      </c>
      <c r="AI34" s="117">
        <f t="shared" si="28"/>
        <v>1.8156424581005588</v>
      </c>
      <c r="AJ34" s="117">
        <f t="shared" si="28"/>
        <v>1.3128491620111733</v>
      </c>
      <c r="AK34" s="145">
        <f t="shared" si="21"/>
        <v>14.106145251396651</v>
      </c>
      <c r="AM34">
        <v>22</v>
      </c>
      <c r="AN34" s="150">
        <v>0.44</v>
      </c>
      <c r="AO34">
        <v>22</v>
      </c>
      <c r="AP34" s="150">
        <v>0.2</v>
      </c>
      <c r="AR34" s="1">
        <f>IF($C34&gt;=0,入力!$W$35,0)</f>
        <v>118.55999355342125</v>
      </c>
      <c r="AS34" s="140">
        <f t="shared" si="23"/>
        <v>2077.2800773589424</v>
      </c>
      <c r="AT34" s="1">
        <f t="shared" si="22"/>
        <v>0</v>
      </c>
    </row>
    <row r="35" spans="1:46" x14ac:dyDescent="0.25">
      <c r="A35" t="str">
        <f t="shared" si="9"/>
        <v>マンション</v>
      </c>
      <c r="B35" s="118">
        <f>住居!B28</f>
        <v>46</v>
      </c>
      <c r="C35" s="118">
        <f>住居!C28</f>
        <v>12</v>
      </c>
      <c r="D35" s="118">
        <f t="shared" si="10"/>
        <v>42.465089999999996</v>
      </c>
      <c r="E35" s="1">
        <f t="shared" si="11"/>
        <v>42.465089999999996</v>
      </c>
      <c r="F35" s="1">
        <f t="shared" si="12"/>
        <v>4.8920783333333322</v>
      </c>
      <c r="H35" s="112">
        <f t="shared" si="29"/>
        <v>18</v>
      </c>
      <c r="I35" s="112">
        <f t="shared" si="3"/>
        <v>14.399999999999999</v>
      </c>
      <c r="J35" s="112">
        <f t="shared" si="3"/>
        <v>0</v>
      </c>
      <c r="K35" s="86"/>
      <c r="L35" s="86"/>
      <c r="M35" s="112">
        <f t="shared" si="14"/>
        <v>0</v>
      </c>
      <c r="N35" s="117">
        <f t="shared" si="15"/>
        <v>8.7984399999999994</v>
      </c>
      <c r="O35" s="117">
        <f t="shared" si="16"/>
        <v>1.2666499999999996</v>
      </c>
      <c r="P35" s="112">
        <f t="shared" si="17"/>
        <v>42.465089999999996</v>
      </c>
      <c r="R35" s="117">
        <f t="shared" si="26"/>
        <v>0</v>
      </c>
      <c r="S35" s="117">
        <f t="shared" si="26"/>
        <v>0</v>
      </c>
      <c r="T35" s="117">
        <f t="shared" si="26"/>
        <v>0</v>
      </c>
      <c r="U35" s="117">
        <f t="shared" si="26"/>
        <v>0</v>
      </c>
      <c r="V35" s="117">
        <f t="shared" si="26"/>
        <v>0</v>
      </c>
      <c r="W35" s="117">
        <f t="shared" si="26"/>
        <v>0</v>
      </c>
      <c r="X35" s="112">
        <f t="shared" si="18"/>
        <v>0</v>
      </c>
      <c r="Y35" s="117">
        <f t="shared" si="19"/>
        <v>2.3203949999999995</v>
      </c>
      <c r="Z35" s="117">
        <f t="shared" si="20"/>
        <v>2.5716833333333322</v>
      </c>
      <c r="AA35" s="144">
        <f t="shared" si="5"/>
        <v>4.8920783333333322</v>
      </c>
      <c r="AC35" s="117">
        <f t="shared" si="27"/>
        <v>2.0670391061452515</v>
      </c>
      <c r="AD35" s="117">
        <f t="shared" si="27"/>
        <v>3.6592178770949721</v>
      </c>
      <c r="AE35" s="117">
        <f t="shared" si="7"/>
        <v>0</v>
      </c>
      <c r="AF35" s="117">
        <f t="shared" si="28"/>
        <v>2.9888268156424584</v>
      </c>
      <c r="AG35" s="117">
        <f t="shared" si="28"/>
        <v>1.4245810055865924</v>
      </c>
      <c r="AH35" s="117">
        <f t="shared" si="28"/>
        <v>0.83798882681564257</v>
      </c>
      <c r="AI35" s="117">
        <f t="shared" si="28"/>
        <v>1.8156424581005588</v>
      </c>
      <c r="AJ35" s="117">
        <f t="shared" si="28"/>
        <v>1.3128491620111733</v>
      </c>
      <c r="AK35" s="145">
        <f t="shared" si="21"/>
        <v>14.106145251396651</v>
      </c>
      <c r="AM35">
        <v>23</v>
      </c>
      <c r="AN35" s="150">
        <v>0.42</v>
      </c>
      <c r="AO35">
        <v>23</v>
      </c>
      <c r="AP35" s="150">
        <v>0.2</v>
      </c>
      <c r="AR35" s="1">
        <f>IF($C35&gt;=0,入力!$W$35,0)</f>
        <v>118.55999355342125</v>
      </c>
      <c r="AS35" s="140">
        <f t="shared" si="23"/>
        <v>1958.7200838055212</v>
      </c>
      <c r="AT35" s="1">
        <f t="shared" si="22"/>
        <v>0</v>
      </c>
    </row>
    <row r="36" spans="1:46" x14ac:dyDescent="0.25">
      <c r="A36" t="str">
        <f t="shared" si="9"/>
        <v>マンション</v>
      </c>
      <c r="B36" s="118">
        <f>住居!B29</f>
        <v>47</v>
      </c>
      <c r="C36" s="118">
        <f>住居!C29</f>
        <v>13</v>
      </c>
      <c r="D36" s="118">
        <f t="shared" si="10"/>
        <v>42.202449999999999</v>
      </c>
      <c r="E36" s="1">
        <f t="shared" si="11"/>
        <v>42.202449999999999</v>
      </c>
      <c r="F36" s="1">
        <f t="shared" si="12"/>
        <v>4.7222933333333321</v>
      </c>
      <c r="H36" s="112">
        <f t="shared" si="29"/>
        <v>18</v>
      </c>
      <c r="I36" s="112">
        <f t="shared" si="3"/>
        <v>14.399999999999999</v>
      </c>
      <c r="J36" s="112">
        <f t="shared" si="3"/>
        <v>0</v>
      </c>
      <c r="K36" s="86"/>
      <c r="L36" s="86"/>
      <c r="M36" s="112">
        <f t="shared" si="14"/>
        <v>0</v>
      </c>
      <c r="N36" s="117">
        <f t="shared" si="15"/>
        <v>8.5357999999999983</v>
      </c>
      <c r="O36" s="117">
        <f t="shared" si="16"/>
        <v>1.2666499999999996</v>
      </c>
      <c r="P36" s="112">
        <f t="shared" si="17"/>
        <v>42.202449999999999</v>
      </c>
      <c r="R36" s="117">
        <f t="shared" si="26"/>
        <v>0</v>
      </c>
      <c r="S36" s="117">
        <f t="shared" si="26"/>
        <v>0</v>
      </c>
      <c r="T36" s="117">
        <f t="shared" si="26"/>
        <v>0</v>
      </c>
      <c r="U36" s="117">
        <f t="shared" si="26"/>
        <v>0</v>
      </c>
      <c r="V36" s="117">
        <f t="shared" si="26"/>
        <v>0</v>
      </c>
      <c r="W36" s="117">
        <f t="shared" si="26"/>
        <v>0</v>
      </c>
      <c r="X36" s="112">
        <f t="shared" si="18"/>
        <v>0</v>
      </c>
      <c r="Y36" s="117">
        <f t="shared" si="19"/>
        <v>2.1506099999999999</v>
      </c>
      <c r="Z36" s="117">
        <f t="shared" si="20"/>
        <v>2.5716833333333322</v>
      </c>
      <c r="AA36" s="144">
        <f t="shared" si="5"/>
        <v>4.7222933333333321</v>
      </c>
      <c r="AC36" s="117">
        <f t="shared" si="27"/>
        <v>2.0670391061452515</v>
      </c>
      <c r="AD36" s="117">
        <f t="shared" si="27"/>
        <v>3.6592178770949721</v>
      </c>
      <c r="AE36" s="117">
        <f t="shared" si="7"/>
        <v>0</v>
      </c>
      <c r="AF36" s="117">
        <f t="shared" si="28"/>
        <v>2.9888268156424584</v>
      </c>
      <c r="AG36" s="117">
        <f t="shared" si="28"/>
        <v>1.4245810055865924</v>
      </c>
      <c r="AH36" s="117">
        <f t="shared" si="28"/>
        <v>0.83798882681564257</v>
      </c>
      <c r="AI36" s="117">
        <f t="shared" si="28"/>
        <v>1.8156424581005588</v>
      </c>
      <c r="AJ36" s="117">
        <f t="shared" si="28"/>
        <v>1.3128491620111733</v>
      </c>
      <c r="AK36" s="145">
        <f t="shared" si="21"/>
        <v>14.106145251396651</v>
      </c>
      <c r="AM36">
        <v>24</v>
      </c>
      <c r="AN36" s="150">
        <v>0.4</v>
      </c>
      <c r="AO36">
        <v>24</v>
      </c>
      <c r="AP36" s="150">
        <v>0.2</v>
      </c>
      <c r="AR36" s="1">
        <f>IF($C36&gt;=0,入力!$W$35,0)</f>
        <v>118.55999355342125</v>
      </c>
      <c r="AS36" s="140">
        <f t="shared" si="23"/>
        <v>1840.1600902521</v>
      </c>
      <c r="AT36" s="1">
        <f t="shared" si="22"/>
        <v>0</v>
      </c>
    </row>
    <row r="37" spans="1:46" x14ac:dyDescent="0.25">
      <c r="A37" t="str">
        <f t="shared" si="9"/>
        <v>マンション</v>
      </c>
      <c r="B37" s="118">
        <f>住居!B30</f>
        <v>48</v>
      </c>
      <c r="C37" s="118">
        <f>住居!C30</f>
        <v>14</v>
      </c>
      <c r="D37" s="118">
        <f t="shared" si="10"/>
        <v>41.808489999999992</v>
      </c>
      <c r="E37" s="1">
        <f t="shared" si="11"/>
        <v>41.808489999999992</v>
      </c>
      <c r="F37" s="1">
        <f t="shared" si="12"/>
        <v>4.552508333333332</v>
      </c>
      <c r="H37" s="112">
        <f t="shared" si="29"/>
        <v>18</v>
      </c>
      <c r="I37" s="112">
        <f t="shared" si="3"/>
        <v>14.399999999999999</v>
      </c>
      <c r="J37" s="112">
        <f t="shared" si="3"/>
        <v>0</v>
      </c>
      <c r="K37" s="86"/>
      <c r="L37" s="86"/>
      <c r="M37" s="112">
        <f t="shared" si="14"/>
        <v>0</v>
      </c>
      <c r="N37" s="117">
        <f t="shared" si="15"/>
        <v>8.1418399999999984</v>
      </c>
      <c r="O37" s="117">
        <f t="shared" si="16"/>
        <v>1.2666499999999996</v>
      </c>
      <c r="P37" s="112">
        <f t="shared" si="17"/>
        <v>41.808489999999992</v>
      </c>
      <c r="R37" s="117">
        <f t="shared" si="26"/>
        <v>0</v>
      </c>
      <c r="S37" s="117">
        <f t="shared" si="26"/>
        <v>0</v>
      </c>
      <c r="T37" s="117">
        <f t="shared" si="26"/>
        <v>0</v>
      </c>
      <c r="U37" s="117">
        <f t="shared" si="26"/>
        <v>0</v>
      </c>
      <c r="V37" s="117">
        <f t="shared" si="26"/>
        <v>0</v>
      </c>
      <c r="W37" s="117">
        <f t="shared" si="26"/>
        <v>0</v>
      </c>
      <c r="X37" s="112">
        <f t="shared" si="18"/>
        <v>0</v>
      </c>
      <c r="Y37" s="117">
        <f t="shared" si="19"/>
        <v>1.9808249999999996</v>
      </c>
      <c r="Z37" s="117">
        <f t="shared" si="20"/>
        <v>2.5716833333333322</v>
      </c>
      <c r="AA37" s="144">
        <f t="shared" si="5"/>
        <v>4.552508333333332</v>
      </c>
      <c r="AC37" s="117">
        <f t="shared" si="27"/>
        <v>2.0670391061452515</v>
      </c>
      <c r="AD37" s="117">
        <f t="shared" si="27"/>
        <v>3.6592178770949721</v>
      </c>
      <c r="AE37" s="117">
        <f t="shared" si="7"/>
        <v>0</v>
      </c>
      <c r="AF37" s="117">
        <f t="shared" si="28"/>
        <v>2.9888268156424584</v>
      </c>
      <c r="AG37" s="117">
        <f t="shared" si="28"/>
        <v>1.4245810055865924</v>
      </c>
      <c r="AH37" s="117">
        <f t="shared" si="28"/>
        <v>0.83798882681564257</v>
      </c>
      <c r="AI37" s="117">
        <f t="shared" si="28"/>
        <v>1.8156424581005588</v>
      </c>
      <c r="AJ37" s="117">
        <f t="shared" si="28"/>
        <v>1.3128491620111733</v>
      </c>
      <c r="AK37" s="145">
        <f t="shared" si="21"/>
        <v>14.106145251396651</v>
      </c>
      <c r="AM37">
        <v>25</v>
      </c>
      <c r="AN37" s="150">
        <v>0.38</v>
      </c>
      <c r="AO37">
        <v>25</v>
      </c>
      <c r="AP37" s="150">
        <v>0.2</v>
      </c>
      <c r="AR37" s="1">
        <f>IF($C37&gt;=0,入力!$W$35,0)</f>
        <v>118.55999355342125</v>
      </c>
      <c r="AS37" s="140">
        <f t="shared" si="23"/>
        <v>1721.6000966986787</v>
      </c>
      <c r="AT37" s="1">
        <f t="shared" si="22"/>
        <v>0</v>
      </c>
    </row>
    <row r="38" spans="1:46" x14ac:dyDescent="0.25">
      <c r="A38" t="str">
        <f t="shared" si="9"/>
        <v>マンション</v>
      </c>
      <c r="B38" s="118">
        <f>住居!B31</f>
        <v>49</v>
      </c>
      <c r="C38" s="118">
        <f>住居!C31</f>
        <v>15</v>
      </c>
      <c r="D38" s="118">
        <f t="shared" si="10"/>
        <v>41.545849999999994</v>
      </c>
      <c r="E38" s="1">
        <f t="shared" si="11"/>
        <v>41.545849999999994</v>
      </c>
      <c r="F38" s="1">
        <f t="shared" si="12"/>
        <v>95.811294761904762</v>
      </c>
      <c r="H38" s="112">
        <f t="shared" si="29"/>
        <v>18</v>
      </c>
      <c r="I38" s="112">
        <f t="shared" si="3"/>
        <v>14.399999999999999</v>
      </c>
      <c r="J38" s="112">
        <f t="shared" si="3"/>
        <v>0</v>
      </c>
      <c r="K38" s="86"/>
      <c r="L38" s="86"/>
      <c r="M38" s="112">
        <f t="shared" si="14"/>
        <v>0</v>
      </c>
      <c r="N38" s="117">
        <f t="shared" si="15"/>
        <v>7.8791999999999982</v>
      </c>
      <c r="O38" s="117">
        <f t="shared" si="16"/>
        <v>1.2666499999999996</v>
      </c>
      <c r="P38" s="112">
        <f t="shared" si="17"/>
        <v>41.545849999999994</v>
      </c>
      <c r="R38" s="117">
        <f t="shared" si="26"/>
        <v>40</v>
      </c>
      <c r="S38" s="117">
        <f t="shared" si="26"/>
        <v>14.285714285714286</v>
      </c>
      <c r="T38" s="117">
        <f t="shared" si="26"/>
        <v>8.5714285714285712</v>
      </c>
      <c r="U38" s="117">
        <f t="shared" si="26"/>
        <v>20</v>
      </c>
      <c r="V38" s="117">
        <f t="shared" si="26"/>
        <v>0</v>
      </c>
      <c r="W38" s="117">
        <f t="shared" si="26"/>
        <v>8.5714285714285712</v>
      </c>
      <c r="X38" s="112">
        <f t="shared" si="18"/>
        <v>0</v>
      </c>
      <c r="Y38" s="117">
        <f t="shared" si="19"/>
        <v>1.81104</v>
      </c>
      <c r="Z38" s="117">
        <f t="shared" si="20"/>
        <v>2.5716833333333322</v>
      </c>
      <c r="AA38" s="144">
        <f t="shared" si="5"/>
        <v>95.811294761904762</v>
      </c>
      <c r="AC38" s="117">
        <f t="shared" si="27"/>
        <v>2.0670391061452515</v>
      </c>
      <c r="AD38" s="117">
        <f t="shared" si="27"/>
        <v>3.6592178770949721</v>
      </c>
      <c r="AE38" s="117">
        <f t="shared" si="7"/>
        <v>0</v>
      </c>
      <c r="AF38" s="117">
        <f t="shared" si="28"/>
        <v>2.9888268156424584</v>
      </c>
      <c r="AG38" s="117">
        <f t="shared" si="28"/>
        <v>1.4245810055865924</v>
      </c>
      <c r="AH38" s="117">
        <f t="shared" si="28"/>
        <v>0.83798882681564257</v>
      </c>
      <c r="AI38" s="117">
        <f t="shared" si="28"/>
        <v>1.8156424581005588</v>
      </c>
      <c r="AJ38" s="117">
        <f t="shared" si="28"/>
        <v>1.3128491620111733</v>
      </c>
      <c r="AK38" s="145">
        <f t="shared" si="21"/>
        <v>14.106145251396651</v>
      </c>
      <c r="AM38">
        <v>26</v>
      </c>
      <c r="AN38" s="150">
        <v>0.36</v>
      </c>
      <c r="AO38">
        <v>26</v>
      </c>
      <c r="AP38" s="150">
        <v>0.2</v>
      </c>
      <c r="AR38" s="1">
        <f>IF($C38&gt;=0,入力!$W$35,0)</f>
        <v>118.55999355342125</v>
      </c>
      <c r="AS38" s="140">
        <f t="shared" si="23"/>
        <v>1603.0401031452575</v>
      </c>
      <c r="AT38" s="1">
        <f t="shared" si="22"/>
        <v>0</v>
      </c>
    </row>
    <row r="39" spans="1:46" x14ac:dyDescent="0.25">
      <c r="A39" t="str">
        <f t="shared" si="9"/>
        <v>マンション</v>
      </c>
      <c r="B39" s="118">
        <f>住居!B32</f>
        <v>50</v>
      </c>
      <c r="C39" s="118">
        <f>住居!C32</f>
        <v>16</v>
      </c>
      <c r="D39" s="118">
        <f t="shared" si="10"/>
        <v>41.283209999999997</v>
      </c>
      <c r="E39" s="1">
        <f t="shared" si="11"/>
        <v>41.283209999999997</v>
      </c>
      <c r="F39" s="1">
        <f t="shared" si="12"/>
        <v>4.2129383333333319</v>
      </c>
      <c r="H39" s="112">
        <f t="shared" si="29"/>
        <v>18</v>
      </c>
      <c r="I39" s="112">
        <f t="shared" si="3"/>
        <v>14.399999999999999</v>
      </c>
      <c r="J39" s="112">
        <f t="shared" si="3"/>
        <v>0</v>
      </c>
      <c r="K39" s="86"/>
      <c r="L39" s="86"/>
      <c r="M39" s="112">
        <f t="shared" si="14"/>
        <v>0</v>
      </c>
      <c r="N39" s="117">
        <f t="shared" si="15"/>
        <v>7.616559999999998</v>
      </c>
      <c r="O39" s="117">
        <f t="shared" si="16"/>
        <v>1.2666499999999996</v>
      </c>
      <c r="P39" s="112">
        <f t="shared" si="17"/>
        <v>41.283209999999997</v>
      </c>
      <c r="R39" s="117">
        <f t="shared" si="26"/>
        <v>0</v>
      </c>
      <c r="S39" s="117">
        <f t="shared" si="26"/>
        <v>0</v>
      </c>
      <c r="T39" s="117">
        <f t="shared" si="26"/>
        <v>0</v>
      </c>
      <c r="U39" s="117">
        <f t="shared" si="26"/>
        <v>0</v>
      </c>
      <c r="V39" s="117">
        <f t="shared" si="26"/>
        <v>0</v>
      </c>
      <c r="W39" s="117">
        <f t="shared" si="26"/>
        <v>0</v>
      </c>
      <c r="X39" s="112">
        <f t="shared" si="18"/>
        <v>0</v>
      </c>
      <c r="Y39" s="117">
        <f t="shared" si="19"/>
        <v>1.6412549999999997</v>
      </c>
      <c r="Z39" s="117">
        <f t="shared" si="20"/>
        <v>2.5716833333333322</v>
      </c>
      <c r="AA39" s="144">
        <f t="shared" si="5"/>
        <v>4.2129383333333319</v>
      </c>
      <c r="AC39" s="117">
        <f t="shared" si="27"/>
        <v>2.0670391061452515</v>
      </c>
      <c r="AD39" s="117">
        <f t="shared" si="27"/>
        <v>3.6592178770949721</v>
      </c>
      <c r="AE39" s="117">
        <f t="shared" si="7"/>
        <v>0</v>
      </c>
      <c r="AF39" s="117">
        <f t="shared" si="28"/>
        <v>2.9888268156424584</v>
      </c>
      <c r="AG39" s="117">
        <f t="shared" si="28"/>
        <v>1.4245810055865924</v>
      </c>
      <c r="AH39" s="117">
        <f t="shared" si="28"/>
        <v>0.83798882681564257</v>
      </c>
      <c r="AI39" s="117">
        <f t="shared" si="28"/>
        <v>1.8156424581005588</v>
      </c>
      <c r="AJ39" s="117">
        <f t="shared" si="28"/>
        <v>1.3128491620111733</v>
      </c>
      <c r="AK39" s="145">
        <f t="shared" si="21"/>
        <v>14.106145251396651</v>
      </c>
      <c r="AM39">
        <v>27</v>
      </c>
      <c r="AN39" s="150">
        <v>0.34</v>
      </c>
      <c r="AO39">
        <v>27</v>
      </c>
      <c r="AP39" s="150">
        <v>0.2</v>
      </c>
      <c r="AR39" s="1">
        <f>IF($C39&gt;=0,入力!$W$35,0)</f>
        <v>118.55999355342125</v>
      </c>
      <c r="AS39" s="140">
        <f t="shared" si="23"/>
        <v>1484.4801095918363</v>
      </c>
      <c r="AT39" s="1">
        <f t="shared" si="22"/>
        <v>0</v>
      </c>
    </row>
    <row r="40" spans="1:46" x14ac:dyDescent="0.25">
      <c r="A40" t="str">
        <f t="shared" si="9"/>
        <v>マンション</v>
      </c>
      <c r="B40" s="118">
        <f>住居!B33</f>
        <v>51</v>
      </c>
      <c r="C40" s="118">
        <f>住居!C33</f>
        <v>17</v>
      </c>
      <c r="D40" s="118">
        <f t="shared" si="10"/>
        <v>40.889249999999997</v>
      </c>
      <c r="E40" s="1">
        <f t="shared" si="11"/>
        <v>40.889249999999997</v>
      </c>
      <c r="F40" s="1">
        <f t="shared" si="12"/>
        <v>4.0431533333333318</v>
      </c>
      <c r="H40" s="112">
        <f t="shared" si="29"/>
        <v>18</v>
      </c>
      <c r="I40" s="112">
        <f t="shared" si="3"/>
        <v>14.399999999999999</v>
      </c>
      <c r="J40" s="112">
        <f t="shared" si="3"/>
        <v>0</v>
      </c>
      <c r="K40" s="86"/>
      <c r="L40" s="86"/>
      <c r="M40" s="112">
        <f t="shared" si="14"/>
        <v>0</v>
      </c>
      <c r="N40" s="117">
        <f t="shared" si="15"/>
        <v>7.222599999999999</v>
      </c>
      <c r="O40" s="117">
        <f t="shared" si="16"/>
        <v>1.2666499999999996</v>
      </c>
      <c r="P40" s="112">
        <f t="shared" si="17"/>
        <v>40.889249999999997</v>
      </c>
      <c r="R40" s="117">
        <f t="shared" si="26"/>
        <v>0</v>
      </c>
      <c r="S40" s="117">
        <f t="shared" si="26"/>
        <v>0</v>
      </c>
      <c r="T40" s="117">
        <f t="shared" si="26"/>
        <v>0</v>
      </c>
      <c r="U40" s="117">
        <f t="shared" si="26"/>
        <v>0</v>
      </c>
      <c r="V40" s="117">
        <f t="shared" si="26"/>
        <v>0</v>
      </c>
      <c r="W40" s="117">
        <f t="shared" si="26"/>
        <v>0</v>
      </c>
      <c r="X40" s="112">
        <f t="shared" si="18"/>
        <v>0</v>
      </c>
      <c r="Y40" s="117">
        <f t="shared" si="19"/>
        <v>1.4714699999999998</v>
      </c>
      <c r="Z40" s="117">
        <f t="shared" si="20"/>
        <v>2.5716833333333322</v>
      </c>
      <c r="AA40" s="144">
        <f t="shared" si="5"/>
        <v>4.0431533333333318</v>
      </c>
      <c r="AC40" s="117">
        <f t="shared" si="27"/>
        <v>2.0670391061452515</v>
      </c>
      <c r="AD40" s="117">
        <f t="shared" si="27"/>
        <v>3.6592178770949721</v>
      </c>
      <c r="AE40" s="117">
        <f t="shared" si="7"/>
        <v>0</v>
      </c>
      <c r="AF40" s="117">
        <f t="shared" si="28"/>
        <v>2.9888268156424584</v>
      </c>
      <c r="AG40" s="117">
        <f t="shared" si="28"/>
        <v>1.4245810055865924</v>
      </c>
      <c r="AH40" s="117">
        <f t="shared" si="28"/>
        <v>0.83798882681564257</v>
      </c>
      <c r="AI40" s="117">
        <f t="shared" si="28"/>
        <v>1.8156424581005588</v>
      </c>
      <c r="AJ40" s="117">
        <f t="shared" si="28"/>
        <v>1.3128491620111733</v>
      </c>
      <c r="AK40" s="145">
        <f t="shared" si="21"/>
        <v>14.106145251396651</v>
      </c>
      <c r="AM40">
        <v>28</v>
      </c>
      <c r="AN40" s="150">
        <v>0.32</v>
      </c>
      <c r="AO40">
        <v>28</v>
      </c>
      <c r="AP40" s="150">
        <v>0.2</v>
      </c>
      <c r="AR40" s="1">
        <f>IF($C40&gt;=0,入力!$W$35,0)</f>
        <v>118.55999355342125</v>
      </c>
      <c r="AS40" s="140">
        <f t="shared" si="23"/>
        <v>1365.920116038415</v>
      </c>
      <c r="AT40" s="1">
        <f t="shared" si="22"/>
        <v>0</v>
      </c>
    </row>
    <row r="41" spans="1:46" x14ac:dyDescent="0.25">
      <c r="A41" t="str">
        <f t="shared" si="9"/>
        <v>マンション</v>
      </c>
      <c r="B41" s="118">
        <f>住居!B34</f>
        <v>52</v>
      </c>
      <c r="C41" s="118">
        <f>住居!C34</f>
        <v>18</v>
      </c>
      <c r="D41" s="118">
        <f t="shared" si="10"/>
        <v>40.626609999999999</v>
      </c>
      <c r="E41" s="1">
        <f t="shared" si="11"/>
        <v>40.626609999999999</v>
      </c>
      <c r="F41" s="1">
        <f t="shared" si="12"/>
        <v>3.8733683333333322</v>
      </c>
      <c r="H41" s="112">
        <f t="shared" si="29"/>
        <v>18</v>
      </c>
      <c r="I41" s="112">
        <f t="shared" si="3"/>
        <v>14.399999999999999</v>
      </c>
      <c r="J41" s="112">
        <f t="shared" si="3"/>
        <v>0</v>
      </c>
      <c r="K41" s="86"/>
      <c r="L41" s="86"/>
      <c r="M41" s="112">
        <f t="shared" si="14"/>
        <v>0</v>
      </c>
      <c r="N41" s="117">
        <f t="shared" si="15"/>
        <v>6.9599599999999988</v>
      </c>
      <c r="O41" s="117">
        <f t="shared" si="16"/>
        <v>1.2666499999999996</v>
      </c>
      <c r="P41" s="112">
        <f t="shared" si="17"/>
        <v>40.626609999999999</v>
      </c>
      <c r="R41" s="117">
        <f t="shared" si="26"/>
        <v>0</v>
      </c>
      <c r="S41" s="117">
        <f t="shared" si="26"/>
        <v>0</v>
      </c>
      <c r="T41" s="117">
        <f t="shared" si="26"/>
        <v>0</v>
      </c>
      <c r="U41" s="117">
        <f t="shared" si="26"/>
        <v>0</v>
      </c>
      <c r="V41" s="117">
        <f t="shared" si="26"/>
        <v>0</v>
      </c>
      <c r="W41" s="117">
        <f t="shared" si="26"/>
        <v>0</v>
      </c>
      <c r="X41" s="112">
        <f t="shared" si="18"/>
        <v>0</v>
      </c>
      <c r="Y41" s="117">
        <f t="shared" si="19"/>
        <v>1.301685</v>
      </c>
      <c r="Z41" s="117">
        <f t="shared" si="20"/>
        <v>2.5716833333333322</v>
      </c>
      <c r="AA41" s="144">
        <f t="shared" si="5"/>
        <v>3.8733683333333322</v>
      </c>
      <c r="AC41" s="117">
        <f t="shared" si="27"/>
        <v>2.0670391061452515</v>
      </c>
      <c r="AD41" s="117">
        <f t="shared" si="27"/>
        <v>3.6592178770949721</v>
      </c>
      <c r="AE41" s="117">
        <f t="shared" si="7"/>
        <v>0</v>
      </c>
      <c r="AF41" s="117">
        <f t="shared" si="28"/>
        <v>2.9888268156424584</v>
      </c>
      <c r="AG41" s="117">
        <f t="shared" si="28"/>
        <v>1.4245810055865924</v>
      </c>
      <c r="AH41" s="117">
        <f t="shared" si="28"/>
        <v>0.83798882681564257</v>
      </c>
      <c r="AI41" s="117">
        <f t="shared" si="28"/>
        <v>1.8156424581005588</v>
      </c>
      <c r="AJ41" s="117">
        <f t="shared" si="28"/>
        <v>1.3128491620111733</v>
      </c>
      <c r="AK41" s="145">
        <f t="shared" si="21"/>
        <v>14.106145251396651</v>
      </c>
      <c r="AM41">
        <v>29</v>
      </c>
      <c r="AN41" s="150">
        <v>0.31</v>
      </c>
      <c r="AO41">
        <v>29</v>
      </c>
      <c r="AP41" s="150">
        <v>0.2</v>
      </c>
      <c r="AR41" s="1">
        <f>IF($C41&gt;=0,入力!$W$35,0)</f>
        <v>118.55999355342125</v>
      </c>
      <c r="AS41" s="140">
        <f t="shared" si="23"/>
        <v>1247.3601224849938</v>
      </c>
      <c r="AT41" s="1">
        <f t="shared" si="22"/>
        <v>0</v>
      </c>
    </row>
    <row r="42" spans="1:46" x14ac:dyDescent="0.25">
      <c r="A42" t="str">
        <f t="shared" si="9"/>
        <v>マンション</v>
      </c>
      <c r="B42" s="118">
        <f>住居!B35</f>
        <v>53</v>
      </c>
      <c r="C42" s="118">
        <f>住居!C35</f>
        <v>19</v>
      </c>
      <c r="D42" s="118">
        <f t="shared" si="10"/>
        <v>40.232649999999992</v>
      </c>
      <c r="E42" s="1">
        <f t="shared" si="11"/>
        <v>40.232649999999992</v>
      </c>
      <c r="F42" s="1">
        <f t="shared" si="12"/>
        <v>3.7035833333333321</v>
      </c>
      <c r="H42" s="112">
        <f t="shared" si="29"/>
        <v>18</v>
      </c>
      <c r="I42" s="112">
        <f t="shared" si="3"/>
        <v>14.399999999999999</v>
      </c>
      <c r="J42" s="112">
        <f t="shared" si="3"/>
        <v>0</v>
      </c>
      <c r="K42" s="86"/>
      <c r="L42" s="86"/>
      <c r="M42" s="112">
        <f t="shared" si="14"/>
        <v>0</v>
      </c>
      <c r="N42" s="117">
        <f t="shared" si="15"/>
        <v>6.5659999999999989</v>
      </c>
      <c r="O42" s="117">
        <f t="shared" si="16"/>
        <v>1.2666499999999996</v>
      </c>
      <c r="P42" s="112">
        <f t="shared" si="17"/>
        <v>40.232649999999992</v>
      </c>
      <c r="R42" s="117">
        <f t="shared" si="26"/>
        <v>0</v>
      </c>
      <c r="S42" s="117">
        <f t="shared" si="26"/>
        <v>0</v>
      </c>
      <c r="T42" s="117">
        <f t="shared" si="26"/>
        <v>0</v>
      </c>
      <c r="U42" s="117">
        <f t="shared" si="26"/>
        <v>0</v>
      </c>
      <c r="V42" s="117">
        <f t="shared" si="26"/>
        <v>0</v>
      </c>
      <c r="W42" s="117">
        <f t="shared" si="26"/>
        <v>0</v>
      </c>
      <c r="X42" s="112">
        <f t="shared" si="18"/>
        <v>0</v>
      </c>
      <c r="Y42" s="117">
        <f t="shared" si="19"/>
        <v>1.1318999999999999</v>
      </c>
      <c r="Z42" s="117">
        <f t="shared" si="20"/>
        <v>2.5716833333333322</v>
      </c>
      <c r="AA42" s="144">
        <f t="shared" si="5"/>
        <v>3.7035833333333321</v>
      </c>
      <c r="AC42" s="117">
        <f t="shared" si="27"/>
        <v>2.0670391061452515</v>
      </c>
      <c r="AD42" s="117">
        <f t="shared" si="27"/>
        <v>3.6592178770949721</v>
      </c>
      <c r="AE42" s="117">
        <f t="shared" si="7"/>
        <v>0</v>
      </c>
      <c r="AF42" s="117">
        <f t="shared" si="28"/>
        <v>2.9888268156424584</v>
      </c>
      <c r="AG42" s="117">
        <f t="shared" si="28"/>
        <v>1.4245810055865924</v>
      </c>
      <c r="AH42" s="117">
        <f t="shared" si="28"/>
        <v>0.83798882681564257</v>
      </c>
      <c r="AI42" s="117">
        <f t="shared" si="28"/>
        <v>1.8156424581005588</v>
      </c>
      <c r="AJ42" s="117">
        <f t="shared" si="28"/>
        <v>1.3128491620111733</v>
      </c>
      <c r="AK42" s="145">
        <f t="shared" si="21"/>
        <v>14.106145251396651</v>
      </c>
      <c r="AM42">
        <v>30</v>
      </c>
      <c r="AN42" s="150">
        <v>0.28999999999999998</v>
      </c>
      <c r="AO42">
        <v>30</v>
      </c>
      <c r="AP42" s="150">
        <v>0.2</v>
      </c>
      <c r="AR42" s="1">
        <f>IF($C42&gt;=0,入力!$W$35,0)</f>
        <v>118.55999355342125</v>
      </c>
      <c r="AS42" s="140">
        <f t="shared" si="23"/>
        <v>1128.8001289315725</v>
      </c>
      <c r="AT42" s="1">
        <f t="shared" si="22"/>
        <v>0</v>
      </c>
    </row>
    <row r="43" spans="1:46" x14ac:dyDescent="0.25">
      <c r="A43" t="str">
        <f t="shared" si="9"/>
        <v>マンション</v>
      </c>
      <c r="B43" s="118">
        <f>住居!B36</f>
        <v>54</v>
      </c>
      <c r="C43" s="118">
        <f>住居!C36</f>
        <v>20</v>
      </c>
      <c r="D43" s="118">
        <f t="shared" si="10"/>
        <v>39.970009999999995</v>
      </c>
      <c r="E43" s="1">
        <f t="shared" si="11"/>
        <v>39.970009999999995</v>
      </c>
      <c r="F43" s="1">
        <f t="shared" si="12"/>
        <v>95.132154761904758</v>
      </c>
      <c r="H43" s="112">
        <f t="shared" si="29"/>
        <v>18</v>
      </c>
      <c r="I43" s="112">
        <f t="shared" si="3"/>
        <v>14.399999999999999</v>
      </c>
      <c r="J43" s="112">
        <f t="shared" si="3"/>
        <v>0</v>
      </c>
      <c r="K43" s="86"/>
      <c r="L43" s="86"/>
      <c r="M43" s="112">
        <f t="shared" si="14"/>
        <v>0</v>
      </c>
      <c r="N43" s="117">
        <f t="shared" si="15"/>
        <v>6.3033599999999987</v>
      </c>
      <c r="O43" s="117">
        <f t="shared" si="16"/>
        <v>1.2666499999999996</v>
      </c>
      <c r="P43" s="112">
        <f t="shared" si="17"/>
        <v>39.970009999999995</v>
      </c>
      <c r="R43" s="117">
        <f t="shared" si="26"/>
        <v>40</v>
      </c>
      <c r="S43" s="117">
        <f t="shared" si="26"/>
        <v>14.285714285714286</v>
      </c>
      <c r="T43" s="117">
        <f t="shared" si="26"/>
        <v>8.5714285714285712</v>
      </c>
      <c r="U43" s="117">
        <f t="shared" si="26"/>
        <v>20</v>
      </c>
      <c r="V43" s="117">
        <f t="shared" si="26"/>
        <v>0</v>
      </c>
      <c r="W43" s="117">
        <f t="shared" si="26"/>
        <v>8.5714285714285712</v>
      </c>
      <c r="X43" s="112">
        <f t="shared" si="18"/>
        <v>0</v>
      </c>
      <c r="Y43" s="117">
        <f t="shared" si="19"/>
        <v>1.1318999999999999</v>
      </c>
      <c r="Z43" s="117">
        <f t="shared" si="20"/>
        <v>2.5716833333333322</v>
      </c>
      <c r="AA43" s="144">
        <f t="shared" si="5"/>
        <v>95.132154761904758</v>
      </c>
      <c r="AC43" s="117">
        <f t="shared" si="27"/>
        <v>2.0670391061452515</v>
      </c>
      <c r="AD43" s="117">
        <f t="shared" si="27"/>
        <v>3.6592178770949721</v>
      </c>
      <c r="AE43" s="117">
        <f t="shared" si="7"/>
        <v>0</v>
      </c>
      <c r="AF43" s="117">
        <f t="shared" ref="AF43:AJ52" si="30">IF($C43&gt;=0,AF$5,0)</f>
        <v>2.9888268156424584</v>
      </c>
      <c r="AG43" s="117">
        <f t="shared" si="30"/>
        <v>1.4245810055865924</v>
      </c>
      <c r="AH43" s="117">
        <f t="shared" si="30"/>
        <v>0.83798882681564257</v>
      </c>
      <c r="AI43" s="117">
        <f t="shared" si="30"/>
        <v>1.8156424581005588</v>
      </c>
      <c r="AJ43" s="117">
        <f t="shared" si="30"/>
        <v>1.3128491620111733</v>
      </c>
      <c r="AK43" s="145">
        <f t="shared" si="21"/>
        <v>14.106145251396651</v>
      </c>
      <c r="AM43">
        <v>31</v>
      </c>
      <c r="AN43" s="150">
        <v>0.28000000000000003</v>
      </c>
      <c r="AO43">
        <v>31</v>
      </c>
      <c r="AP43" s="150">
        <v>0.2</v>
      </c>
      <c r="AR43" s="1">
        <f>IF($C43&gt;=0,入力!$W$35,0)</f>
        <v>118.55999355342125</v>
      </c>
      <c r="AS43" s="140">
        <f t="shared" si="23"/>
        <v>1010.2401353781513</v>
      </c>
      <c r="AT43" s="1">
        <f t="shared" si="22"/>
        <v>0</v>
      </c>
    </row>
    <row r="44" spans="1:46" x14ac:dyDescent="0.25">
      <c r="A44" t="str">
        <f t="shared" si="9"/>
        <v>マンション</v>
      </c>
      <c r="B44" s="118">
        <f>住居!B37</f>
        <v>55</v>
      </c>
      <c r="C44" s="118">
        <f>住居!C37</f>
        <v>21</v>
      </c>
      <c r="D44" s="118">
        <f t="shared" si="10"/>
        <v>39.707369999999997</v>
      </c>
      <c r="E44" s="1">
        <f t="shared" si="11"/>
        <v>39.707369999999997</v>
      </c>
      <c r="F44" s="1">
        <f t="shared" si="12"/>
        <v>3.7035833333333321</v>
      </c>
      <c r="H44" s="112">
        <f t="shared" si="29"/>
        <v>18</v>
      </c>
      <c r="I44" s="112">
        <f t="shared" si="3"/>
        <v>14.399999999999999</v>
      </c>
      <c r="J44" s="112">
        <f t="shared" si="3"/>
        <v>0</v>
      </c>
      <c r="K44" s="86"/>
      <c r="L44" s="86"/>
      <c r="M44" s="112">
        <f t="shared" si="14"/>
        <v>0</v>
      </c>
      <c r="N44" s="117">
        <f t="shared" si="15"/>
        <v>6.0407199999999994</v>
      </c>
      <c r="O44" s="117">
        <f t="shared" si="16"/>
        <v>1.2666499999999996</v>
      </c>
      <c r="P44" s="112">
        <f t="shared" si="17"/>
        <v>39.707369999999997</v>
      </c>
      <c r="R44" s="117">
        <f t="shared" si="26"/>
        <v>0</v>
      </c>
      <c r="S44" s="117">
        <f t="shared" si="26"/>
        <v>0</v>
      </c>
      <c r="T44" s="117">
        <f t="shared" si="26"/>
        <v>0</v>
      </c>
      <c r="U44" s="117">
        <f t="shared" si="26"/>
        <v>0</v>
      </c>
      <c r="V44" s="117">
        <f t="shared" si="26"/>
        <v>0</v>
      </c>
      <c r="W44" s="117">
        <f t="shared" si="26"/>
        <v>0</v>
      </c>
      <c r="X44" s="112">
        <f t="shared" si="18"/>
        <v>0</v>
      </c>
      <c r="Y44" s="117">
        <f t="shared" si="19"/>
        <v>1.1318999999999999</v>
      </c>
      <c r="Z44" s="117">
        <f t="shared" si="20"/>
        <v>2.5716833333333322</v>
      </c>
      <c r="AA44" s="144">
        <f t="shared" si="5"/>
        <v>3.7035833333333321</v>
      </c>
      <c r="AC44" s="117">
        <f t="shared" si="27"/>
        <v>2.0670391061452515</v>
      </c>
      <c r="AD44" s="117">
        <f t="shared" si="27"/>
        <v>3.6592178770949721</v>
      </c>
      <c r="AE44" s="117">
        <f t="shared" si="7"/>
        <v>0</v>
      </c>
      <c r="AF44" s="117">
        <f t="shared" si="30"/>
        <v>2.9888268156424584</v>
      </c>
      <c r="AG44" s="117">
        <f t="shared" si="30"/>
        <v>1.4245810055865924</v>
      </c>
      <c r="AH44" s="117">
        <f t="shared" si="30"/>
        <v>0.83798882681564257</v>
      </c>
      <c r="AI44" s="117">
        <f t="shared" si="30"/>
        <v>1.8156424581005588</v>
      </c>
      <c r="AJ44" s="117">
        <f t="shared" si="30"/>
        <v>1.3128491620111733</v>
      </c>
      <c r="AK44" s="145">
        <f t="shared" si="21"/>
        <v>14.106145251396651</v>
      </c>
      <c r="AM44">
        <v>32</v>
      </c>
      <c r="AN44" s="150">
        <v>0.26</v>
      </c>
      <c r="AO44">
        <v>32</v>
      </c>
      <c r="AP44" s="150">
        <v>0.2</v>
      </c>
      <c r="AR44" s="1">
        <f>IF($C44&gt;=0,入力!$W$35,0)</f>
        <v>118.55999355342125</v>
      </c>
      <c r="AS44" s="140">
        <f t="shared" si="23"/>
        <v>891.68014182473007</v>
      </c>
      <c r="AT44" s="1">
        <f t="shared" si="22"/>
        <v>0</v>
      </c>
    </row>
    <row r="45" spans="1:46" x14ac:dyDescent="0.25">
      <c r="A45" t="str">
        <f t="shared" si="9"/>
        <v>マンション</v>
      </c>
      <c r="B45" s="118">
        <f>住居!B38</f>
        <v>56</v>
      </c>
      <c r="C45" s="118">
        <f>住居!C38</f>
        <v>22</v>
      </c>
      <c r="D45" s="118">
        <f t="shared" si="10"/>
        <v>39.444729999999993</v>
      </c>
      <c r="E45" s="1">
        <f t="shared" si="11"/>
        <v>39.444729999999993</v>
      </c>
      <c r="F45" s="1">
        <f t="shared" si="12"/>
        <v>3.7035833333333321</v>
      </c>
      <c r="H45" s="112">
        <f t="shared" si="29"/>
        <v>18</v>
      </c>
      <c r="I45" s="112">
        <f t="shared" si="3"/>
        <v>14.399999999999999</v>
      </c>
      <c r="J45" s="112">
        <f t="shared" si="3"/>
        <v>0</v>
      </c>
      <c r="K45" s="86"/>
      <c r="L45" s="86"/>
      <c r="M45" s="112">
        <f t="shared" si="14"/>
        <v>0</v>
      </c>
      <c r="N45" s="117">
        <f t="shared" si="15"/>
        <v>5.7780799999999992</v>
      </c>
      <c r="O45" s="117">
        <f t="shared" si="16"/>
        <v>1.2666499999999996</v>
      </c>
      <c r="P45" s="112">
        <f t="shared" si="17"/>
        <v>39.444729999999993</v>
      </c>
      <c r="R45" s="117">
        <f t="shared" si="26"/>
        <v>0</v>
      </c>
      <c r="S45" s="117">
        <f t="shared" si="26"/>
        <v>0</v>
      </c>
      <c r="T45" s="117">
        <f t="shared" si="26"/>
        <v>0</v>
      </c>
      <c r="U45" s="117">
        <f t="shared" si="26"/>
        <v>0</v>
      </c>
      <c r="V45" s="117">
        <f t="shared" si="26"/>
        <v>0</v>
      </c>
      <c r="W45" s="117">
        <f t="shared" si="26"/>
        <v>0</v>
      </c>
      <c r="X45" s="112">
        <f t="shared" si="18"/>
        <v>0</v>
      </c>
      <c r="Y45" s="117">
        <f t="shared" si="19"/>
        <v>1.1318999999999999</v>
      </c>
      <c r="Z45" s="117">
        <f t="shared" si="20"/>
        <v>2.5716833333333322</v>
      </c>
      <c r="AA45" s="144">
        <f t="shared" ref="AA45:AA76" si="31">SUM(R45:Z45)</f>
        <v>3.7035833333333321</v>
      </c>
      <c r="AC45" s="117">
        <f t="shared" si="27"/>
        <v>2.0670391061452515</v>
      </c>
      <c r="AD45" s="117">
        <f t="shared" si="27"/>
        <v>3.6592178770949721</v>
      </c>
      <c r="AE45" s="117">
        <f t="shared" ref="AE45:AE77" si="32">IF($C45&gt;=0,AE$9,0)</f>
        <v>0</v>
      </c>
      <c r="AF45" s="117">
        <f t="shared" si="30"/>
        <v>2.9888268156424584</v>
      </c>
      <c r="AG45" s="117">
        <f t="shared" si="30"/>
        <v>1.4245810055865924</v>
      </c>
      <c r="AH45" s="117">
        <f t="shared" si="30"/>
        <v>0.83798882681564257</v>
      </c>
      <c r="AI45" s="117">
        <f t="shared" si="30"/>
        <v>1.8156424581005588</v>
      </c>
      <c r="AJ45" s="117">
        <f t="shared" si="30"/>
        <v>1.3128491620111733</v>
      </c>
      <c r="AK45" s="145">
        <f t="shared" si="21"/>
        <v>14.106145251396651</v>
      </c>
      <c r="AM45">
        <v>33</v>
      </c>
      <c r="AN45" s="150">
        <v>0.25</v>
      </c>
      <c r="AO45">
        <v>33</v>
      </c>
      <c r="AP45" s="150">
        <v>0.2</v>
      </c>
      <c r="AR45" s="1">
        <f>IF($C45&gt;=0,入力!$W$35,0)</f>
        <v>118.55999355342125</v>
      </c>
      <c r="AS45" s="140">
        <f t="shared" si="23"/>
        <v>773.12014827130884</v>
      </c>
      <c r="AT45" s="1">
        <f t="shared" si="22"/>
        <v>0</v>
      </c>
    </row>
    <row r="46" spans="1:46" x14ac:dyDescent="0.25">
      <c r="A46" t="str">
        <f t="shared" si="9"/>
        <v>マンション</v>
      </c>
      <c r="B46" s="118">
        <f>住居!B39</f>
        <v>57</v>
      </c>
      <c r="C46" s="118">
        <f>住居!C39</f>
        <v>23</v>
      </c>
      <c r="D46" s="118">
        <f t="shared" si="10"/>
        <v>39.182089999999995</v>
      </c>
      <c r="E46" s="1">
        <f t="shared" si="11"/>
        <v>39.182089999999995</v>
      </c>
      <c r="F46" s="1">
        <f t="shared" si="12"/>
        <v>3.7035833333333321</v>
      </c>
      <c r="H46" s="112">
        <f t="shared" si="29"/>
        <v>18</v>
      </c>
      <c r="I46" s="112">
        <f t="shared" si="3"/>
        <v>14.399999999999999</v>
      </c>
      <c r="J46" s="112">
        <f t="shared" si="3"/>
        <v>0</v>
      </c>
      <c r="K46" s="86"/>
      <c r="L46" s="86"/>
      <c r="M46" s="112">
        <f t="shared" si="14"/>
        <v>0</v>
      </c>
      <c r="N46" s="117">
        <f t="shared" si="15"/>
        <v>5.515439999999999</v>
      </c>
      <c r="O46" s="117">
        <f t="shared" si="16"/>
        <v>1.2666499999999996</v>
      </c>
      <c r="P46" s="112">
        <f t="shared" si="17"/>
        <v>39.182089999999995</v>
      </c>
      <c r="R46" s="117">
        <f t="shared" si="26"/>
        <v>0</v>
      </c>
      <c r="S46" s="117">
        <f t="shared" si="26"/>
        <v>0</v>
      </c>
      <c r="T46" s="117">
        <f t="shared" si="26"/>
        <v>0</v>
      </c>
      <c r="U46" s="117">
        <f t="shared" si="26"/>
        <v>0</v>
      </c>
      <c r="V46" s="117">
        <f t="shared" si="26"/>
        <v>0</v>
      </c>
      <c r="W46" s="117">
        <f t="shared" si="26"/>
        <v>0</v>
      </c>
      <c r="X46" s="112">
        <f t="shared" si="18"/>
        <v>0</v>
      </c>
      <c r="Y46" s="117">
        <f t="shared" si="19"/>
        <v>1.1318999999999999</v>
      </c>
      <c r="Z46" s="117">
        <f t="shared" si="20"/>
        <v>2.5716833333333322</v>
      </c>
      <c r="AA46" s="144">
        <f t="shared" si="31"/>
        <v>3.7035833333333321</v>
      </c>
      <c r="AC46" s="117">
        <f t="shared" si="27"/>
        <v>2.0670391061452515</v>
      </c>
      <c r="AD46" s="117">
        <f t="shared" si="27"/>
        <v>3.6592178770949721</v>
      </c>
      <c r="AE46" s="117">
        <f t="shared" si="32"/>
        <v>0</v>
      </c>
      <c r="AF46" s="117">
        <f t="shared" si="30"/>
        <v>2.9888268156424584</v>
      </c>
      <c r="AG46" s="117">
        <f t="shared" si="30"/>
        <v>1.4245810055865924</v>
      </c>
      <c r="AH46" s="117">
        <f t="shared" si="30"/>
        <v>0.83798882681564257</v>
      </c>
      <c r="AI46" s="117">
        <f t="shared" si="30"/>
        <v>1.8156424581005588</v>
      </c>
      <c r="AJ46" s="117">
        <f t="shared" si="30"/>
        <v>1.3128491620111733</v>
      </c>
      <c r="AK46" s="145">
        <f t="shared" si="21"/>
        <v>14.106145251396651</v>
      </c>
      <c r="AM46">
        <v>34</v>
      </c>
      <c r="AN46" s="150">
        <v>0.23</v>
      </c>
      <c r="AO46">
        <v>34</v>
      </c>
      <c r="AP46" s="150">
        <v>0.2</v>
      </c>
      <c r="AR46" s="1">
        <f>IF($C46&gt;=0,入力!$W$35,0)</f>
        <v>118.55999355342125</v>
      </c>
      <c r="AS46" s="140">
        <f t="shared" si="23"/>
        <v>654.5601547178876</v>
      </c>
      <c r="AT46" s="1">
        <f t="shared" si="22"/>
        <v>0</v>
      </c>
    </row>
    <row r="47" spans="1:46" x14ac:dyDescent="0.25">
      <c r="A47" t="str">
        <f t="shared" si="9"/>
        <v>マンション</v>
      </c>
      <c r="B47" s="118">
        <f>住居!B40</f>
        <v>58</v>
      </c>
      <c r="C47" s="118">
        <f>住居!C40</f>
        <v>24</v>
      </c>
      <c r="D47" s="118">
        <f t="shared" si="10"/>
        <v>38.919449999999998</v>
      </c>
      <c r="E47" s="1">
        <f t="shared" si="11"/>
        <v>38.919449999999998</v>
      </c>
      <c r="F47" s="1">
        <f t="shared" si="12"/>
        <v>3.7035833333333321</v>
      </c>
      <c r="H47" s="112">
        <f t="shared" si="29"/>
        <v>18</v>
      </c>
      <c r="I47" s="112">
        <f t="shared" si="3"/>
        <v>14.399999999999999</v>
      </c>
      <c r="J47" s="112">
        <f t="shared" si="3"/>
        <v>0</v>
      </c>
      <c r="K47" s="86"/>
      <c r="L47" s="86"/>
      <c r="M47" s="112">
        <f t="shared" si="14"/>
        <v>0</v>
      </c>
      <c r="N47" s="117">
        <f t="shared" si="15"/>
        <v>5.2527999999999997</v>
      </c>
      <c r="O47" s="117">
        <f t="shared" si="16"/>
        <v>1.2666499999999996</v>
      </c>
      <c r="P47" s="112">
        <f t="shared" si="17"/>
        <v>38.919449999999998</v>
      </c>
      <c r="R47" s="117">
        <f t="shared" ref="R47:W62" si="33">IF($C47&gt;0,IF(MOD($C47,5)=0,R$9*5,0),0)</f>
        <v>0</v>
      </c>
      <c r="S47" s="117">
        <f t="shared" si="33"/>
        <v>0</v>
      </c>
      <c r="T47" s="117">
        <f t="shared" si="33"/>
        <v>0</v>
      </c>
      <c r="U47" s="117">
        <f t="shared" si="33"/>
        <v>0</v>
      </c>
      <c r="V47" s="117">
        <f t="shared" si="33"/>
        <v>0</v>
      </c>
      <c r="W47" s="117">
        <f t="shared" si="33"/>
        <v>0</v>
      </c>
      <c r="X47" s="112">
        <f t="shared" si="18"/>
        <v>0</v>
      </c>
      <c r="Y47" s="117">
        <f t="shared" si="19"/>
        <v>1.1318999999999999</v>
      </c>
      <c r="Z47" s="117">
        <f t="shared" si="20"/>
        <v>2.5716833333333322</v>
      </c>
      <c r="AA47" s="144">
        <f t="shared" si="31"/>
        <v>3.7035833333333321</v>
      </c>
      <c r="AC47" s="117">
        <f t="shared" si="27"/>
        <v>2.0670391061452515</v>
      </c>
      <c r="AD47" s="117">
        <f t="shared" si="27"/>
        <v>3.6592178770949721</v>
      </c>
      <c r="AE47" s="117">
        <f t="shared" si="32"/>
        <v>0</v>
      </c>
      <c r="AF47" s="117">
        <f t="shared" si="30"/>
        <v>2.9888268156424584</v>
      </c>
      <c r="AG47" s="117">
        <f t="shared" si="30"/>
        <v>1.4245810055865924</v>
      </c>
      <c r="AH47" s="117">
        <f t="shared" si="30"/>
        <v>0.83798882681564257</v>
      </c>
      <c r="AI47" s="117">
        <f t="shared" si="30"/>
        <v>1.8156424581005588</v>
      </c>
      <c r="AJ47" s="117">
        <f t="shared" si="30"/>
        <v>1.3128491620111733</v>
      </c>
      <c r="AK47" s="145">
        <f t="shared" si="21"/>
        <v>14.106145251396651</v>
      </c>
      <c r="AM47">
        <v>35</v>
      </c>
      <c r="AN47" s="150">
        <v>0.23</v>
      </c>
      <c r="AO47">
        <v>35</v>
      </c>
      <c r="AP47" s="150">
        <v>0.2</v>
      </c>
      <c r="AR47" s="1">
        <f>IF($C47&gt;=0,入力!$W$35,0)</f>
        <v>118.55999355342125</v>
      </c>
      <c r="AS47" s="140">
        <f t="shared" si="23"/>
        <v>536.00016116446636</v>
      </c>
      <c r="AT47" s="1">
        <f t="shared" si="22"/>
        <v>0</v>
      </c>
    </row>
    <row r="48" spans="1:46" x14ac:dyDescent="0.25">
      <c r="A48" t="str">
        <f t="shared" si="9"/>
        <v>マンション</v>
      </c>
      <c r="B48" s="118">
        <f>住居!B41</f>
        <v>59</v>
      </c>
      <c r="C48" s="118">
        <f>住居!C41</f>
        <v>25</v>
      </c>
      <c r="D48" s="118">
        <f t="shared" si="10"/>
        <v>38.656809999999993</v>
      </c>
      <c r="E48" s="1">
        <f t="shared" si="11"/>
        <v>38.656809999999993</v>
      </c>
      <c r="F48" s="1">
        <f t="shared" si="12"/>
        <v>95.132154761904758</v>
      </c>
      <c r="H48" s="112">
        <f t="shared" si="29"/>
        <v>18</v>
      </c>
      <c r="I48" s="112">
        <f t="shared" si="3"/>
        <v>14.399999999999999</v>
      </c>
      <c r="J48" s="112">
        <f t="shared" si="3"/>
        <v>0</v>
      </c>
      <c r="K48" s="86"/>
      <c r="L48" s="86"/>
      <c r="M48" s="112">
        <f t="shared" si="14"/>
        <v>0</v>
      </c>
      <c r="N48" s="117">
        <f t="shared" si="15"/>
        <v>4.9901599999999995</v>
      </c>
      <c r="O48" s="117">
        <f t="shared" si="16"/>
        <v>1.2666499999999996</v>
      </c>
      <c r="P48" s="112">
        <f t="shared" si="17"/>
        <v>38.656809999999993</v>
      </c>
      <c r="R48" s="117">
        <f t="shared" si="33"/>
        <v>40</v>
      </c>
      <c r="S48" s="117">
        <f t="shared" si="33"/>
        <v>14.285714285714286</v>
      </c>
      <c r="T48" s="117">
        <f t="shared" si="33"/>
        <v>8.5714285714285712</v>
      </c>
      <c r="U48" s="117">
        <f t="shared" si="33"/>
        <v>20</v>
      </c>
      <c r="V48" s="117">
        <f t="shared" si="33"/>
        <v>0</v>
      </c>
      <c r="W48" s="117">
        <f t="shared" si="33"/>
        <v>8.5714285714285712</v>
      </c>
      <c r="X48" s="112">
        <f t="shared" si="18"/>
        <v>0</v>
      </c>
      <c r="Y48" s="117">
        <f t="shared" si="19"/>
        <v>1.1318999999999999</v>
      </c>
      <c r="Z48" s="117">
        <f t="shared" si="20"/>
        <v>2.5716833333333322</v>
      </c>
      <c r="AA48" s="144">
        <f t="shared" si="31"/>
        <v>95.132154761904758</v>
      </c>
      <c r="AC48" s="117">
        <f t="shared" si="27"/>
        <v>2.0670391061452515</v>
      </c>
      <c r="AD48" s="117">
        <f t="shared" si="27"/>
        <v>3.6592178770949721</v>
      </c>
      <c r="AE48" s="117">
        <f t="shared" si="32"/>
        <v>0</v>
      </c>
      <c r="AF48" s="117">
        <f t="shared" si="30"/>
        <v>2.9888268156424584</v>
      </c>
      <c r="AG48" s="117">
        <f t="shared" si="30"/>
        <v>1.4245810055865924</v>
      </c>
      <c r="AH48" s="117">
        <f t="shared" si="30"/>
        <v>0.83798882681564257</v>
      </c>
      <c r="AI48" s="117">
        <f t="shared" si="30"/>
        <v>1.8156424581005588</v>
      </c>
      <c r="AJ48" s="117">
        <f t="shared" si="30"/>
        <v>1.3128491620111733</v>
      </c>
      <c r="AK48" s="145">
        <f t="shared" si="21"/>
        <v>14.106145251396651</v>
      </c>
      <c r="AM48">
        <v>36</v>
      </c>
      <c r="AN48" s="150">
        <v>0.22</v>
      </c>
      <c r="AO48">
        <v>36</v>
      </c>
      <c r="AP48" s="150">
        <v>0.2</v>
      </c>
      <c r="AR48" s="1"/>
    </row>
    <row r="49" spans="1:44" x14ac:dyDescent="0.25">
      <c r="A49" t="str">
        <f t="shared" si="9"/>
        <v>マンション</v>
      </c>
      <c r="B49" s="118">
        <f>住居!B42</f>
        <v>60</v>
      </c>
      <c r="C49" s="118">
        <f>住居!C42</f>
        <v>26</v>
      </c>
      <c r="D49" s="118">
        <f t="shared" si="10"/>
        <v>38.394169999999995</v>
      </c>
      <c r="E49" s="1">
        <f t="shared" si="11"/>
        <v>38.394169999999995</v>
      </c>
      <c r="F49" s="1">
        <f t="shared" si="12"/>
        <v>3.7035833333333321</v>
      </c>
      <c r="H49" s="112">
        <f t="shared" si="29"/>
        <v>18</v>
      </c>
      <c r="I49" s="112">
        <f t="shared" si="3"/>
        <v>14.399999999999999</v>
      </c>
      <c r="J49" s="112">
        <f t="shared" si="3"/>
        <v>0</v>
      </c>
      <c r="K49" s="86"/>
      <c r="L49" s="86"/>
      <c r="M49" s="112">
        <f t="shared" si="14"/>
        <v>0</v>
      </c>
      <c r="N49" s="117">
        <f t="shared" si="15"/>
        <v>4.7275199999999993</v>
      </c>
      <c r="O49" s="117">
        <f t="shared" si="16"/>
        <v>1.2666499999999996</v>
      </c>
      <c r="P49" s="112">
        <f t="shared" si="17"/>
        <v>38.394169999999995</v>
      </c>
      <c r="R49" s="117">
        <f t="shared" si="33"/>
        <v>0</v>
      </c>
      <c r="S49" s="117">
        <f t="shared" si="33"/>
        <v>0</v>
      </c>
      <c r="T49" s="117">
        <f t="shared" si="33"/>
        <v>0</v>
      </c>
      <c r="U49" s="117">
        <f t="shared" si="33"/>
        <v>0</v>
      </c>
      <c r="V49" s="117">
        <f t="shared" si="33"/>
        <v>0</v>
      </c>
      <c r="W49" s="117">
        <f t="shared" si="33"/>
        <v>0</v>
      </c>
      <c r="X49" s="112">
        <f t="shared" si="18"/>
        <v>0</v>
      </c>
      <c r="Y49" s="117">
        <f t="shared" si="19"/>
        <v>1.1318999999999999</v>
      </c>
      <c r="Z49" s="117">
        <f t="shared" si="20"/>
        <v>2.5716833333333322</v>
      </c>
      <c r="AA49" s="144">
        <f t="shared" si="31"/>
        <v>3.7035833333333321</v>
      </c>
      <c r="AC49" s="117">
        <f t="shared" si="27"/>
        <v>2.0670391061452515</v>
      </c>
      <c r="AD49" s="117">
        <f t="shared" si="27"/>
        <v>3.6592178770949721</v>
      </c>
      <c r="AE49" s="117">
        <f t="shared" si="32"/>
        <v>0</v>
      </c>
      <c r="AF49" s="117">
        <f t="shared" si="30"/>
        <v>2.9888268156424584</v>
      </c>
      <c r="AG49" s="117">
        <f t="shared" si="30"/>
        <v>1.4245810055865924</v>
      </c>
      <c r="AH49" s="117">
        <f t="shared" si="30"/>
        <v>0.83798882681564257</v>
      </c>
      <c r="AI49" s="117">
        <f t="shared" si="30"/>
        <v>1.8156424581005588</v>
      </c>
      <c r="AJ49" s="117">
        <f t="shared" si="30"/>
        <v>1.3128491620111733</v>
      </c>
      <c r="AK49" s="145">
        <f t="shared" si="21"/>
        <v>14.106145251396651</v>
      </c>
      <c r="AM49">
        <v>37</v>
      </c>
      <c r="AN49" s="150">
        <v>0.22</v>
      </c>
      <c r="AO49">
        <v>37</v>
      </c>
      <c r="AP49" s="150">
        <v>0.2</v>
      </c>
      <c r="AR49" s="1"/>
    </row>
    <row r="50" spans="1:44" x14ac:dyDescent="0.25">
      <c r="A50" t="str">
        <f t="shared" si="9"/>
        <v>マンション</v>
      </c>
      <c r="B50" s="118">
        <f>住居!B43</f>
        <v>61</v>
      </c>
      <c r="C50" s="118">
        <f>住居!C43</f>
        <v>27</v>
      </c>
      <c r="D50" s="118">
        <f t="shared" si="10"/>
        <v>38.131529999999998</v>
      </c>
      <c r="E50" s="1">
        <f t="shared" si="11"/>
        <v>38.131529999999998</v>
      </c>
      <c r="F50" s="1">
        <f t="shared" si="12"/>
        <v>3.7035833333333321</v>
      </c>
      <c r="H50" s="112">
        <f t="shared" si="29"/>
        <v>18</v>
      </c>
      <c r="I50" s="112">
        <f t="shared" si="3"/>
        <v>14.399999999999999</v>
      </c>
      <c r="J50" s="112">
        <f t="shared" si="3"/>
        <v>0</v>
      </c>
      <c r="K50" s="86"/>
      <c r="L50" s="86"/>
      <c r="M50" s="112">
        <f t="shared" si="14"/>
        <v>0</v>
      </c>
      <c r="N50" s="117">
        <f t="shared" si="15"/>
        <v>4.46488</v>
      </c>
      <c r="O50" s="117">
        <f t="shared" si="16"/>
        <v>1.2666499999999996</v>
      </c>
      <c r="P50" s="112">
        <f t="shared" si="17"/>
        <v>38.131529999999998</v>
      </c>
      <c r="R50" s="117">
        <f t="shared" si="33"/>
        <v>0</v>
      </c>
      <c r="S50" s="117">
        <f t="shared" si="33"/>
        <v>0</v>
      </c>
      <c r="T50" s="117">
        <f t="shared" si="33"/>
        <v>0</v>
      </c>
      <c r="U50" s="117">
        <f t="shared" si="33"/>
        <v>0</v>
      </c>
      <c r="V50" s="117">
        <f t="shared" si="33"/>
        <v>0</v>
      </c>
      <c r="W50" s="117">
        <f t="shared" si="33"/>
        <v>0</v>
      </c>
      <c r="X50" s="112">
        <f t="shared" si="18"/>
        <v>0</v>
      </c>
      <c r="Y50" s="117">
        <f t="shared" si="19"/>
        <v>1.1318999999999999</v>
      </c>
      <c r="Z50" s="117">
        <f t="shared" si="20"/>
        <v>2.5716833333333322</v>
      </c>
      <c r="AA50" s="144">
        <f t="shared" si="31"/>
        <v>3.7035833333333321</v>
      </c>
      <c r="AC50" s="117">
        <f t="shared" si="27"/>
        <v>2.0670391061452515</v>
      </c>
      <c r="AD50" s="117">
        <f t="shared" si="27"/>
        <v>3.6592178770949721</v>
      </c>
      <c r="AE50" s="117">
        <f t="shared" si="32"/>
        <v>0</v>
      </c>
      <c r="AF50" s="117">
        <f t="shared" si="30"/>
        <v>2.9888268156424584</v>
      </c>
      <c r="AG50" s="117">
        <f t="shared" si="30"/>
        <v>1.4245810055865924</v>
      </c>
      <c r="AH50" s="117">
        <f t="shared" si="30"/>
        <v>0.83798882681564257</v>
      </c>
      <c r="AI50" s="117">
        <f t="shared" si="30"/>
        <v>1.8156424581005588</v>
      </c>
      <c r="AJ50" s="117">
        <f t="shared" si="30"/>
        <v>1.3128491620111733</v>
      </c>
      <c r="AK50" s="145">
        <f t="shared" si="21"/>
        <v>14.106145251396651</v>
      </c>
      <c r="AM50">
        <v>38</v>
      </c>
      <c r="AN50" s="150">
        <v>0.21</v>
      </c>
      <c r="AO50">
        <v>38</v>
      </c>
      <c r="AP50" s="150">
        <v>0.2</v>
      </c>
      <c r="AR50" s="1"/>
    </row>
    <row r="51" spans="1:44" x14ac:dyDescent="0.25">
      <c r="A51" t="str">
        <f t="shared" si="9"/>
        <v>マンション</v>
      </c>
      <c r="B51" s="118">
        <f>住居!B44</f>
        <v>62</v>
      </c>
      <c r="C51" s="118">
        <f>住居!C44</f>
        <v>28</v>
      </c>
      <c r="D51" s="118">
        <f t="shared" si="10"/>
        <v>37.868889999999993</v>
      </c>
      <c r="E51" s="1">
        <f t="shared" si="11"/>
        <v>37.868889999999993</v>
      </c>
      <c r="F51" s="1">
        <f t="shared" si="12"/>
        <v>3.7035833333333321</v>
      </c>
      <c r="H51" s="112">
        <f t="shared" si="29"/>
        <v>18</v>
      </c>
      <c r="I51" s="112">
        <f t="shared" si="3"/>
        <v>14.399999999999999</v>
      </c>
      <c r="J51" s="112">
        <f t="shared" si="3"/>
        <v>0</v>
      </c>
      <c r="K51" s="86"/>
      <c r="L51" s="86"/>
      <c r="M51" s="112">
        <f t="shared" si="14"/>
        <v>0</v>
      </c>
      <c r="N51" s="117">
        <f t="shared" si="15"/>
        <v>4.2022399999999998</v>
      </c>
      <c r="O51" s="117">
        <f t="shared" si="16"/>
        <v>1.2666499999999996</v>
      </c>
      <c r="P51" s="112">
        <f t="shared" si="17"/>
        <v>37.868889999999993</v>
      </c>
      <c r="R51" s="117">
        <f t="shared" si="33"/>
        <v>0</v>
      </c>
      <c r="S51" s="117">
        <f t="shared" si="33"/>
        <v>0</v>
      </c>
      <c r="T51" s="117">
        <f t="shared" si="33"/>
        <v>0</v>
      </c>
      <c r="U51" s="117">
        <f t="shared" si="33"/>
        <v>0</v>
      </c>
      <c r="V51" s="117">
        <f t="shared" si="33"/>
        <v>0</v>
      </c>
      <c r="W51" s="117">
        <f t="shared" si="33"/>
        <v>0</v>
      </c>
      <c r="X51" s="112">
        <f t="shared" si="18"/>
        <v>0</v>
      </c>
      <c r="Y51" s="117">
        <f t="shared" si="19"/>
        <v>1.1318999999999999</v>
      </c>
      <c r="Z51" s="117">
        <f t="shared" si="20"/>
        <v>2.5716833333333322</v>
      </c>
      <c r="AA51" s="144">
        <f t="shared" si="31"/>
        <v>3.7035833333333321</v>
      </c>
      <c r="AC51" s="117">
        <f t="shared" si="27"/>
        <v>2.0670391061452515</v>
      </c>
      <c r="AD51" s="117">
        <f t="shared" si="27"/>
        <v>3.6592178770949721</v>
      </c>
      <c r="AE51" s="117">
        <f t="shared" si="32"/>
        <v>0</v>
      </c>
      <c r="AF51" s="117">
        <f t="shared" si="30"/>
        <v>2.9888268156424584</v>
      </c>
      <c r="AG51" s="117">
        <f t="shared" si="30"/>
        <v>1.4245810055865924</v>
      </c>
      <c r="AH51" s="117">
        <f t="shared" si="30"/>
        <v>0.83798882681564257</v>
      </c>
      <c r="AI51" s="117">
        <f t="shared" si="30"/>
        <v>1.8156424581005588</v>
      </c>
      <c r="AJ51" s="117">
        <f t="shared" si="30"/>
        <v>1.3128491620111733</v>
      </c>
      <c r="AK51" s="145">
        <f t="shared" si="21"/>
        <v>14.106145251396651</v>
      </c>
      <c r="AM51">
        <v>39</v>
      </c>
      <c r="AN51" s="150">
        <v>0.21</v>
      </c>
      <c r="AO51">
        <v>39</v>
      </c>
      <c r="AP51" s="150">
        <v>0.2</v>
      </c>
      <c r="AR51" s="1"/>
    </row>
    <row r="52" spans="1:44" x14ac:dyDescent="0.25">
      <c r="A52" t="str">
        <f t="shared" si="9"/>
        <v>マンション</v>
      </c>
      <c r="B52" s="118">
        <f>住居!B45</f>
        <v>63</v>
      </c>
      <c r="C52" s="118">
        <f>住居!C45</f>
        <v>29</v>
      </c>
      <c r="D52" s="118">
        <f t="shared" si="10"/>
        <v>37.737569999999998</v>
      </c>
      <c r="E52" s="1">
        <f t="shared" si="11"/>
        <v>37.737569999999998</v>
      </c>
      <c r="F52" s="1">
        <f t="shared" si="12"/>
        <v>3.7035833333333321</v>
      </c>
      <c r="H52" s="112">
        <f t="shared" si="29"/>
        <v>18</v>
      </c>
      <c r="I52" s="112">
        <f t="shared" si="3"/>
        <v>14.399999999999999</v>
      </c>
      <c r="J52" s="112">
        <f t="shared" si="3"/>
        <v>0</v>
      </c>
      <c r="K52" s="86"/>
      <c r="L52" s="86"/>
      <c r="M52" s="112">
        <f t="shared" si="14"/>
        <v>0</v>
      </c>
      <c r="N52" s="117">
        <f t="shared" si="15"/>
        <v>4.0709199999999992</v>
      </c>
      <c r="O52" s="117">
        <f t="shared" si="16"/>
        <v>1.2666499999999996</v>
      </c>
      <c r="P52" s="112">
        <f t="shared" si="17"/>
        <v>37.737569999999998</v>
      </c>
      <c r="R52" s="117">
        <f t="shared" si="33"/>
        <v>0</v>
      </c>
      <c r="S52" s="117">
        <f t="shared" si="33"/>
        <v>0</v>
      </c>
      <c r="T52" s="117">
        <f t="shared" si="33"/>
        <v>0</v>
      </c>
      <c r="U52" s="117">
        <f t="shared" si="33"/>
        <v>0</v>
      </c>
      <c r="V52" s="117">
        <f t="shared" si="33"/>
        <v>0</v>
      </c>
      <c r="W52" s="117">
        <f t="shared" si="33"/>
        <v>0</v>
      </c>
      <c r="X52" s="112">
        <f t="shared" si="18"/>
        <v>0</v>
      </c>
      <c r="Y52" s="117">
        <f t="shared" si="19"/>
        <v>1.1318999999999999</v>
      </c>
      <c r="Z52" s="117">
        <f t="shared" si="20"/>
        <v>2.5716833333333322</v>
      </c>
      <c r="AA52" s="144">
        <f t="shared" si="31"/>
        <v>3.7035833333333321</v>
      </c>
      <c r="AC52" s="117">
        <f t="shared" si="27"/>
        <v>2.0670391061452515</v>
      </c>
      <c r="AD52" s="117">
        <f t="shared" si="27"/>
        <v>3.6592178770949721</v>
      </c>
      <c r="AE52" s="117">
        <f t="shared" si="32"/>
        <v>0</v>
      </c>
      <c r="AF52" s="117">
        <f t="shared" si="30"/>
        <v>2.9888268156424584</v>
      </c>
      <c r="AG52" s="117">
        <f t="shared" si="30"/>
        <v>1.4245810055865924</v>
      </c>
      <c r="AH52" s="117">
        <f t="shared" si="30"/>
        <v>0.83798882681564257</v>
      </c>
      <c r="AI52" s="117">
        <f t="shared" si="30"/>
        <v>1.8156424581005588</v>
      </c>
      <c r="AJ52" s="117">
        <f t="shared" si="30"/>
        <v>1.3128491620111733</v>
      </c>
      <c r="AK52" s="145">
        <f t="shared" si="21"/>
        <v>14.106145251396651</v>
      </c>
      <c r="AM52">
        <v>40</v>
      </c>
      <c r="AN52" s="150">
        <v>0.20699999999999999</v>
      </c>
      <c r="AO52">
        <v>40</v>
      </c>
      <c r="AP52" s="150">
        <v>0.2</v>
      </c>
      <c r="AR52" s="1"/>
    </row>
    <row r="53" spans="1:44" x14ac:dyDescent="0.25">
      <c r="A53" t="str">
        <f t="shared" si="9"/>
        <v>マンション</v>
      </c>
      <c r="B53" s="118">
        <f>住居!B46</f>
        <v>64</v>
      </c>
      <c r="C53" s="118">
        <f>住居!C46</f>
        <v>30</v>
      </c>
      <c r="D53" s="118">
        <f t="shared" si="10"/>
        <v>37.474929999999993</v>
      </c>
      <c r="E53" s="1">
        <f t="shared" si="11"/>
        <v>37.474929999999993</v>
      </c>
      <c r="F53" s="1">
        <f t="shared" si="12"/>
        <v>95.132154761904758</v>
      </c>
      <c r="H53" s="112">
        <f t="shared" si="29"/>
        <v>18</v>
      </c>
      <c r="I53" s="112">
        <f t="shared" si="3"/>
        <v>14.399999999999999</v>
      </c>
      <c r="J53" s="112">
        <f t="shared" si="3"/>
        <v>0</v>
      </c>
      <c r="K53" s="86"/>
      <c r="L53" s="86"/>
      <c r="M53" s="112">
        <f t="shared" si="14"/>
        <v>0</v>
      </c>
      <c r="N53" s="117">
        <f t="shared" si="15"/>
        <v>3.808279999999999</v>
      </c>
      <c r="O53" s="117">
        <f t="shared" si="16"/>
        <v>1.2666499999999996</v>
      </c>
      <c r="P53" s="112">
        <f t="shared" si="17"/>
        <v>37.474929999999993</v>
      </c>
      <c r="R53" s="117">
        <f t="shared" si="33"/>
        <v>40</v>
      </c>
      <c r="S53" s="117">
        <f t="shared" si="33"/>
        <v>14.285714285714286</v>
      </c>
      <c r="T53" s="117">
        <f t="shared" si="33"/>
        <v>8.5714285714285712</v>
      </c>
      <c r="U53" s="117">
        <f t="shared" si="33"/>
        <v>20</v>
      </c>
      <c r="V53" s="117">
        <f t="shared" si="33"/>
        <v>0</v>
      </c>
      <c r="W53" s="117">
        <f t="shared" si="33"/>
        <v>8.5714285714285712</v>
      </c>
      <c r="X53" s="112">
        <f t="shared" si="18"/>
        <v>0</v>
      </c>
      <c r="Y53" s="117">
        <f t="shared" si="19"/>
        <v>1.1318999999999999</v>
      </c>
      <c r="Z53" s="117">
        <f t="shared" si="20"/>
        <v>2.5716833333333322</v>
      </c>
      <c r="AA53" s="144">
        <f t="shared" si="31"/>
        <v>95.132154761904758</v>
      </c>
      <c r="AC53" s="117">
        <f t="shared" ref="AC53:AD77" si="34">IF($C53&gt;=0,AC$5,0)</f>
        <v>2.0670391061452515</v>
      </c>
      <c r="AD53" s="117">
        <f t="shared" si="34"/>
        <v>3.6592178770949721</v>
      </c>
      <c r="AE53" s="117">
        <f t="shared" si="32"/>
        <v>0</v>
      </c>
      <c r="AF53" s="117">
        <f t="shared" ref="AF53:AJ62" si="35">IF($C53&gt;=0,AF$5,0)</f>
        <v>2.9888268156424584</v>
      </c>
      <c r="AG53" s="117">
        <f t="shared" si="35"/>
        <v>1.4245810055865924</v>
      </c>
      <c r="AH53" s="117">
        <f t="shared" si="35"/>
        <v>0.83798882681564257</v>
      </c>
      <c r="AI53" s="117">
        <f t="shared" si="35"/>
        <v>1.8156424581005588</v>
      </c>
      <c r="AJ53" s="117">
        <f t="shared" si="35"/>
        <v>1.3128491620111733</v>
      </c>
      <c r="AK53" s="145">
        <f t="shared" si="21"/>
        <v>14.106145251396651</v>
      </c>
      <c r="AM53">
        <v>41</v>
      </c>
      <c r="AN53" s="150">
        <v>0.20530000000000001</v>
      </c>
      <c r="AO53">
        <v>41</v>
      </c>
      <c r="AP53" s="150">
        <v>0.2</v>
      </c>
      <c r="AR53" s="1"/>
    </row>
    <row r="54" spans="1:44" x14ac:dyDescent="0.25">
      <c r="A54" t="str">
        <f t="shared" si="9"/>
        <v>マンション</v>
      </c>
      <c r="B54" s="118">
        <f>住居!B47</f>
        <v>65</v>
      </c>
      <c r="C54" s="118">
        <f>住居!C47</f>
        <v>31</v>
      </c>
      <c r="D54" s="118">
        <f t="shared" si="10"/>
        <v>37.343609999999998</v>
      </c>
      <c r="E54" s="1">
        <f t="shared" si="11"/>
        <v>37.343609999999998</v>
      </c>
      <c r="F54" s="1">
        <f t="shared" si="12"/>
        <v>3.7035833333333321</v>
      </c>
      <c r="H54" s="112">
        <f t="shared" ref="H54:J77" si="36">IF($C54&gt;=0,H$9,0)</f>
        <v>18</v>
      </c>
      <c r="I54" s="112">
        <f t="shared" si="3"/>
        <v>14.399999999999999</v>
      </c>
      <c r="J54" s="112">
        <f t="shared" si="3"/>
        <v>0</v>
      </c>
      <c r="K54" s="86"/>
      <c r="L54" s="86"/>
      <c r="M54" s="112">
        <f t="shared" si="14"/>
        <v>0</v>
      </c>
      <c r="N54" s="117">
        <f t="shared" si="15"/>
        <v>3.6769599999999998</v>
      </c>
      <c r="O54" s="117">
        <f t="shared" si="16"/>
        <v>1.2666499999999996</v>
      </c>
      <c r="P54" s="112">
        <f t="shared" si="17"/>
        <v>37.343609999999998</v>
      </c>
      <c r="R54" s="117">
        <f t="shared" si="33"/>
        <v>0</v>
      </c>
      <c r="S54" s="117">
        <f t="shared" si="33"/>
        <v>0</v>
      </c>
      <c r="T54" s="117">
        <f t="shared" si="33"/>
        <v>0</v>
      </c>
      <c r="U54" s="117">
        <f t="shared" si="33"/>
        <v>0</v>
      </c>
      <c r="V54" s="117">
        <f t="shared" si="33"/>
        <v>0</v>
      </c>
      <c r="W54" s="117">
        <f t="shared" si="33"/>
        <v>0</v>
      </c>
      <c r="X54" s="112">
        <f t="shared" si="18"/>
        <v>0</v>
      </c>
      <c r="Y54" s="117">
        <f t="shared" si="19"/>
        <v>1.1318999999999999</v>
      </c>
      <c r="Z54" s="117">
        <f t="shared" si="20"/>
        <v>2.5716833333333322</v>
      </c>
      <c r="AA54" s="144">
        <f t="shared" si="31"/>
        <v>3.7035833333333321</v>
      </c>
      <c r="AC54" s="117">
        <f t="shared" si="34"/>
        <v>2.0670391061452515</v>
      </c>
      <c r="AD54" s="117">
        <f t="shared" si="34"/>
        <v>3.6592178770949721</v>
      </c>
      <c r="AE54" s="117">
        <f t="shared" si="32"/>
        <v>0</v>
      </c>
      <c r="AF54" s="117">
        <f t="shared" si="35"/>
        <v>2.9888268156424584</v>
      </c>
      <c r="AG54" s="117">
        <f t="shared" si="35"/>
        <v>1.4245810055865924</v>
      </c>
      <c r="AH54" s="117">
        <f t="shared" si="35"/>
        <v>0.83798882681564257</v>
      </c>
      <c r="AI54" s="117">
        <f t="shared" si="35"/>
        <v>1.8156424581005588</v>
      </c>
      <c r="AJ54" s="117">
        <f t="shared" si="35"/>
        <v>1.3128491620111733</v>
      </c>
      <c r="AK54" s="145">
        <f t="shared" si="21"/>
        <v>14.106145251396651</v>
      </c>
      <c r="AM54">
        <v>42</v>
      </c>
      <c r="AN54" s="150">
        <v>0.2036</v>
      </c>
      <c r="AO54">
        <v>42</v>
      </c>
      <c r="AP54" s="150">
        <v>0.2</v>
      </c>
      <c r="AR54" s="1"/>
    </row>
    <row r="55" spans="1:44" x14ac:dyDescent="0.25">
      <c r="A55" t="str">
        <f t="shared" si="9"/>
        <v>マンション</v>
      </c>
      <c r="B55" s="118">
        <f>住居!B48</f>
        <v>66</v>
      </c>
      <c r="C55" s="118">
        <f>住居!C48</f>
        <v>32</v>
      </c>
      <c r="D55" s="118">
        <f t="shared" si="10"/>
        <v>37.080969999999994</v>
      </c>
      <c r="E55" s="1">
        <f t="shared" si="11"/>
        <v>37.080969999999994</v>
      </c>
      <c r="F55" s="1">
        <f t="shared" si="12"/>
        <v>3.7035833333333321</v>
      </c>
      <c r="H55" s="112">
        <f t="shared" si="36"/>
        <v>18</v>
      </c>
      <c r="I55" s="112">
        <f t="shared" si="3"/>
        <v>14.399999999999999</v>
      </c>
      <c r="J55" s="112">
        <f t="shared" si="3"/>
        <v>0</v>
      </c>
      <c r="K55" s="86"/>
      <c r="L55" s="86"/>
      <c r="M55" s="112">
        <f t="shared" si="14"/>
        <v>0</v>
      </c>
      <c r="N55" s="117">
        <f t="shared" si="15"/>
        <v>3.4143199999999996</v>
      </c>
      <c r="O55" s="117">
        <f t="shared" si="16"/>
        <v>1.2666499999999996</v>
      </c>
      <c r="P55" s="112">
        <f t="shared" si="17"/>
        <v>37.080969999999994</v>
      </c>
      <c r="R55" s="117">
        <f t="shared" si="33"/>
        <v>0</v>
      </c>
      <c r="S55" s="117">
        <f t="shared" si="33"/>
        <v>0</v>
      </c>
      <c r="T55" s="117">
        <f t="shared" si="33"/>
        <v>0</v>
      </c>
      <c r="U55" s="117">
        <f t="shared" si="33"/>
        <v>0</v>
      </c>
      <c r="V55" s="117">
        <f t="shared" si="33"/>
        <v>0</v>
      </c>
      <c r="W55" s="117">
        <f t="shared" si="33"/>
        <v>0</v>
      </c>
      <c r="X55" s="112">
        <f t="shared" si="18"/>
        <v>0</v>
      </c>
      <c r="Y55" s="117">
        <f t="shared" si="19"/>
        <v>1.1318999999999999</v>
      </c>
      <c r="Z55" s="117">
        <f t="shared" si="20"/>
        <v>2.5716833333333322</v>
      </c>
      <c r="AA55" s="144">
        <f t="shared" si="31"/>
        <v>3.7035833333333321</v>
      </c>
      <c r="AC55" s="117">
        <f t="shared" si="34"/>
        <v>2.0670391061452515</v>
      </c>
      <c r="AD55" s="117">
        <f t="shared" si="34"/>
        <v>3.6592178770949721</v>
      </c>
      <c r="AE55" s="117">
        <f t="shared" si="32"/>
        <v>0</v>
      </c>
      <c r="AF55" s="117">
        <f t="shared" si="35"/>
        <v>2.9888268156424584</v>
      </c>
      <c r="AG55" s="117">
        <f t="shared" si="35"/>
        <v>1.4245810055865924</v>
      </c>
      <c r="AH55" s="117">
        <f t="shared" si="35"/>
        <v>0.83798882681564257</v>
      </c>
      <c r="AI55" s="117">
        <f t="shared" si="35"/>
        <v>1.8156424581005588</v>
      </c>
      <c r="AJ55" s="117">
        <f t="shared" si="35"/>
        <v>1.3128491620111733</v>
      </c>
      <c r="AK55" s="145">
        <f t="shared" si="21"/>
        <v>14.106145251396651</v>
      </c>
      <c r="AM55">
        <v>43</v>
      </c>
      <c r="AN55" s="150">
        <v>0.20180000000000001</v>
      </c>
      <c r="AO55">
        <v>43</v>
      </c>
      <c r="AP55" s="150">
        <v>0.2</v>
      </c>
      <c r="AR55" s="1"/>
    </row>
    <row r="56" spans="1:44" x14ac:dyDescent="0.25">
      <c r="A56" t="str">
        <f t="shared" si="9"/>
        <v>マンション</v>
      </c>
      <c r="B56" s="118">
        <f>住居!B49</f>
        <v>67</v>
      </c>
      <c r="C56" s="118">
        <f>住居!C49</f>
        <v>33</v>
      </c>
      <c r="D56" s="118">
        <f t="shared" si="10"/>
        <v>36.949649999999998</v>
      </c>
      <c r="E56" s="1">
        <f t="shared" si="11"/>
        <v>36.949649999999998</v>
      </c>
      <c r="F56" s="1">
        <f t="shared" si="12"/>
        <v>3.7035833333333321</v>
      </c>
      <c r="H56" s="112">
        <f t="shared" si="36"/>
        <v>18</v>
      </c>
      <c r="I56" s="112">
        <f t="shared" si="3"/>
        <v>14.399999999999999</v>
      </c>
      <c r="J56" s="112">
        <f t="shared" si="3"/>
        <v>0</v>
      </c>
      <c r="K56" s="86"/>
      <c r="L56" s="86"/>
      <c r="M56" s="112">
        <f t="shared" si="14"/>
        <v>0</v>
      </c>
      <c r="N56" s="117">
        <f t="shared" si="15"/>
        <v>3.2829999999999995</v>
      </c>
      <c r="O56" s="117">
        <f t="shared" si="16"/>
        <v>1.2666499999999996</v>
      </c>
      <c r="P56" s="112">
        <f t="shared" si="17"/>
        <v>36.949649999999998</v>
      </c>
      <c r="R56" s="117">
        <f t="shared" si="33"/>
        <v>0</v>
      </c>
      <c r="S56" s="117">
        <f t="shared" si="33"/>
        <v>0</v>
      </c>
      <c r="T56" s="117">
        <f t="shared" si="33"/>
        <v>0</v>
      </c>
      <c r="U56" s="117">
        <f t="shared" si="33"/>
        <v>0</v>
      </c>
      <c r="V56" s="117">
        <f t="shared" si="33"/>
        <v>0</v>
      </c>
      <c r="W56" s="117">
        <f t="shared" si="33"/>
        <v>0</v>
      </c>
      <c r="X56" s="112">
        <f t="shared" si="18"/>
        <v>0</v>
      </c>
      <c r="Y56" s="117">
        <f t="shared" si="19"/>
        <v>1.1318999999999999</v>
      </c>
      <c r="Z56" s="117">
        <f t="shared" si="20"/>
        <v>2.5716833333333322</v>
      </c>
      <c r="AA56" s="144">
        <f t="shared" si="31"/>
        <v>3.7035833333333321</v>
      </c>
      <c r="AC56" s="117">
        <f t="shared" si="34"/>
        <v>2.0670391061452515</v>
      </c>
      <c r="AD56" s="117">
        <f t="shared" si="34"/>
        <v>3.6592178770949721</v>
      </c>
      <c r="AE56" s="117">
        <f t="shared" si="32"/>
        <v>0</v>
      </c>
      <c r="AF56" s="117">
        <f t="shared" si="35"/>
        <v>2.9888268156424584</v>
      </c>
      <c r="AG56" s="117">
        <f t="shared" si="35"/>
        <v>1.4245810055865924</v>
      </c>
      <c r="AH56" s="117">
        <f t="shared" si="35"/>
        <v>0.83798882681564257</v>
      </c>
      <c r="AI56" s="117">
        <f t="shared" si="35"/>
        <v>1.8156424581005588</v>
      </c>
      <c r="AJ56" s="117">
        <f t="shared" si="35"/>
        <v>1.3128491620111733</v>
      </c>
      <c r="AK56" s="145">
        <f t="shared" si="21"/>
        <v>14.106145251396651</v>
      </c>
      <c r="AM56">
        <v>44</v>
      </c>
      <c r="AN56" s="150">
        <v>0.2</v>
      </c>
      <c r="AO56">
        <v>44</v>
      </c>
      <c r="AP56" s="150">
        <v>0.2</v>
      </c>
      <c r="AR56" s="1"/>
    </row>
    <row r="57" spans="1:44" x14ac:dyDescent="0.25">
      <c r="A57" t="str">
        <f t="shared" si="9"/>
        <v>マンション</v>
      </c>
      <c r="B57" s="118">
        <f>住居!B50</f>
        <v>68</v>
      </c>
      <c r="C57" s="118">
        <f>住居!C50</f>
        <v>34</v>
      </c>
      <c r="D57" s="118">
        <f t="shared" si="10"/>
        <v>36.687009999999994</v>
      </c>
      <c r="E57" s="1">
        <f t="shared" si="11"/>
        <v>36.687009999999994</v>
      </c>
      <c r="F57" s="1">
        <f t="shared" si="12"/>
        <v>3.7035833333333321</v>
      </c>
      <c r="H57" s="112">
        <f t="shared" si="36"/>
        <v>18</v>
      </c>
      <c r="I57" s="112">
        <f t="shared" si="3"/>
        <v>14.399999999999999</v>
      </c>
      <c r="J57" s="112">
        <f t="shared" si="3"/>
        <v>0</v>
      </c>
      <c r="K57" s="86"/>
      <c r="L57" s="86"/>
      <c r="M57" s="112">
        <f t="shared" si="14"/>
        <v>0</v>
      </c>
      <c r="N57" s="117">
        <f t="shared" si="15"/>
        <v>3.0203599999999997</v>
      </c>
      <c r="O57" s="117">
        <f t="shared" si="16"/>
        <v>1.2666499999999996</v>
      </c>
      <c r="P57" s="112">
        <f t="shared" si="17"/>
        <v>36.687009999999994</v>
      </c>
      <c r="R57" s="117">
        <f t="shared" si="33"/>
        <v>0</v>
      </c>
      <c r="S57" s="117">
        <f t="shared" si="33"/>
        <v>0</v>
      </c>
      <c r="T57" s="117">
        <f t="shared" si="33"/>
        <v>0</v>
      </c>
      <c r="U57" s="117">
        <f t="shared" si="33"/>
        <v>0</v>
      </c>
      <c r="V57" s="117">
        <f t="shared" si="33"/>
        <v>0</v>
      </c>
      <c r="W57" s="117">
        <f t="shared" si="33"/>
        <v>0</v>
      </c>
      <c r="X57" s="112">
        <f t="shared" si="18"/>
        <v>0</v>
      </c>
      <c r="Y57" s="117">
        <f t="shared" si="19"/>
        <v>1.1318999999999999</v>
      </c>
      <c r="Z57" s="117">
        <f t="shared" si="20"/>
        <v>2.5716833333333322</v>
      </c>
      <c r="AA57" s="144">
        <f t="shared" si="31"/>
        <v>3.7035833333333321</v>
      </c>
      <c r="AC57" s="117">
        <f t="shared" si="34"/>
        <v>2.0670391061452515</v>
      </c>
      <c r="AD57" s="117">
        <f t="shared" si="34"/>
        <v>3.6592178770949721</v>
      </c>
      <c r="AE57" s="117">
        <f t="shared" si="32"/>
        <v>0</v>
      </c>
      <c r="AF57" s="117">
        <f t="shared" si="35"/>
        <v>2.9888268156424584</v>
      </c>
      <c r="AG57" s="117">
        <f t="shared" si="35"/>
        <v>1.4245810055865924</v>
      </c>
      <c r="AH57" s="117">
        <f t="shared" si="35"/>
        <v>0.83798882681564257</v>
      </c>
      <c r="AI57" s="117">
        <f t="shared" si="35"/>
        <v>1.8156424581005588</v>
      </c>
      <c r="AJ57" s="117">
        <f t="shared" si="35"/>
        <v>1.3128491620111733</v>
      </c>
      <c r="AK57" s="145">
        <f t="shared" si="21"/>
        <v>14.106145251396651</v>
      </c>
      <c r="AM57">
        <v>45</v>
      </c>
      <c r="AN57" s="150">
        <f t="shared" ref="AN57:AN120" si="37">AN56</f>
        <v>0.2</v>
      </c>
      <c r="AO57">
        <v>45</v>
      </c>
      <c r="AP57" s="150">
        <v>0.2</v>
      </c>
      <c r="AR57" s="1"/>
    </row>
    <row r="58" spans="1:44" x14ac:dyDescent="0.25">
      <c r="A58" t="str">
        <f t="shared" si="9"/>
        <v>マンション</v>
      </c>
      <c r="B58" s="118">
        <f>住居!B51</f>
        <v>69</v>
      </c>
      <c r="C58" s="118">
        <f>住居!C51</f>
        <v>35</v>
      </c>
      <c r="D58" s="118">
        <f t="shared" si="10"/>
        <v>36.687009999999994</v>
      </c>
      <c r="E58" s="1">
        <f t="shared" si="11"/>
        <v>36.687009999999994</v>
      </c>
      <c r="F58" s="1">
        <f t="shared" si="12"/>
        <v>95.132154761904758</v>
      </c>
      <c r="H58" s="112">
        <f t="shared" si="36"/>
        <v>18</v>
      </c>
      <c r="I58" s="112">
        <f t="shared" si="3"/>
        <v>14.399999999999999</v>
      </c>
      <c r="J58" s="112">
        <f t="shared" si="3"/>
        <v>0</v>
      </c>
      <c r="K58" s="86"/>
      <c r="L58" s="86"/>
      <c r="M58" s="112">
        <f t="shared" si="14"/>
        <v>0</v>
      </c>
      <c r="N58" s="117">
        <f t="shared" si="15"/>
        <v>3.0203599999999997</v>
      </c>
      <c r="O58" s="117">
        <f t="shared" si="16"/>
        <v>1.2666499999999996</v>
      </c>
      <c r="P58" s="112">
        <f t="shared" si="17"/>
        <v>36.687009999999994</v>
      </c>
      <c r="R58" s="117">
        <f t="shared" si="33"/>
        <v>40</v>
      </c>
      <c r="S58" s="117">
        <f t="shared" si="33"/>
        <v>14.285714285714286</v>
      </c>
      <c r="T58" s="117">
        <f t="shared" si="33"/>
        <v>8.5714285714285712</v>
      </c>
      <c r="U58" s="117">
        <f t="shared" si="33"/>
        <v>20</v>
      </c>
      <c r="V58" s="117">
        <f t="shared" si="33"/>
        <v>0</v>
      </c>
      <c r="W58" s="117">
        <f t="shared" si="33"/>
        <v>8.5714285714285712</v>
      </c>
      <c r="X58" s="112">
        <f t="shared" si="18"/>
        <v>0</v>
      </c>
      <c r="Y58" s="117">
        <f t="shared" si="19"/>
        <v>1.1318999999999999</v>
      </c>
      <c r="Z58" s="117">
        <f t="shared" si="20"/>
        <v>2.5716833333333322</v>
      </c>
      <c r="AA58" s="144">
        <f t="shared" si="31"/>
        <v>95.132154761904758</v>
      </c>
      <c r="AC58" s="117">
        <f t="shared" si="34"/>
        <v>2.0670391061452515</v>
      </c>
      <c r="AD58" s="117">
        <f t="shared" si="34"/>
        <v>3.6592178770949721</v>
      </c>
      <c r="AE58" s="117">
        <f t="shared" si="32"/>
        <v>0</v>
      </c>
      <c r="AF58" s="117">
        <f t="shared" si="35"/>
        <v>2.9888268156424584</v>
      </c>
      <c r="AG58" s="117">
        <f t="shared" si="35"/>
        <v>1.4245810055865924</v>
      </c>
      <c r="AH58" s="117">
        <f t="shared" si="35"/>
        <v>0.83798882681564257</v>
      </c>
      <c r="AI58" s="117">
        <f t="shared" si="35"/>
        <v>1.8156424581005588</v>
      </c>
      <c r="AJ58" s="117">
        <f t="shared" si="35"/>
        <v>1.3128491620111733</v>
      </c>
      <c r="AK58" s="145">
        <f t="shared" si="21"/>
        <v>14.106145251396651</v>
      </c>
      <c r="AM58">
        <v>46</v>
      </c>
      <c r="AN58" s="150">
        <f t="shared" si="37"/>
        <v>0.2</v>
      </c>
      <c r="AO58">
        <v>46</v>
      </c>
      <c r="AP58" s="150">
        <v>0.2</v>
      </c>
      <c r="AR58" s="1"/>
    </row>
    <row r="59" spans="1:44" x14ac:dyDescent="0.25">
      <c r="A59" t="str">
        <f t="shared" si="9"/>
        <v>マンション</v>
      </c>
      <c r="B59" s="118">
        <f>住居!B52</f>
        <v>70</v>
      </c>
      <c r="C59" s="118">
        <f>住居!C52</f>
        <v>36</v>
      </c>
      <c r="D59" s="118">
        <f t="shared" si="10"/>
        <v>36.555689999999998</v>
      </c>
      <c r="E59" s="1">
        <f t="shared" si="11"/>
        <v>36.555689999999998</v>
      </c>
      <c r="F59" s="1">
        <f t="shared" si="12"/>
        <v>3.7035833333333321</v>
      </c>
      <c r="H59" s="112">
        <f t="shared" si="36"/>
        <v>18</v>
      </c>
      <c r="I59" s="112">
        <f t="shared" si="3"/>
        <v>14.399999999999999</v>
      </c>
      <c r="J59" s="112">
        <f t="shared" si="3"/>
        <v>0</v>
      </c>
      <c r="K59" s="86"/>
      <c r="L59" s="86"/>
      <c r="M59" s="112">
        <f t="shared" si="14"/>
        <v>0</v>
      </c>
      <c r="N59" s="117">
        <f t="shared" si="15"/>
        <v>2.8890399999999996</v>
      </c>
      <c r="O59" s="117">
        <f t="shared" si="16"/>
        <v>1.2666499999999996</v>
      </c>
      <c r="P59" s="112">
        <f t="shared" si="17"/>
        <v>36.555689999999998</v>
      </c>
      <c r="R59" s="117">
        <f t="shared" si="33"/>
        <v>0</v>
      </c>
      <c r="S59" s="117">
        <f t="shared" si="33"/>
        <v>0</v>
      </c>
      <c r="T59" s="117">
        <f t="shared" si="33"/>
        <v>0</v>
      </c>
      <c r="U59" s="117">
        <f t="shared" si="33"/>
        <v>0</v>
      </c>
      <c r="V59" s="117">
        <f t="shared" si="33"/>
        <v>0</v>
      </c>
      <c r="W59" s="117">
        <f t="shared" si="33"/>
        <v>0</v>
      </c>
      <c r="X59" s="112">
        <f t="shared" si="18"/>
        <v>0</v>
      </c>
      <c r="Y59" s="117">
        <f t="shared" si="19"/>
        <v>1.1318999999999999</v>
      </c>
      <c r="Z59" s="117">
        <f t="shared" si="20"/>
        <v>2.5716833333333322</v>
      </c>
      <c r="AA59" s="144">
        <f t="shared" si="31"/>
        <v>3.7035833333333321</v>
      </c>
      <c r="AC59" s="117">
        <f t="shared" si="34"/>
        <v>2.0670391061452515</v>
      </c>
      <c r="AD59" s="117">
        <f t="shared" si="34"/>
        <v>3.6592178770949721</v>
      </c>
      <c r="AE59" s="117">
        <f t="shared" si="32"/>
        <v>0</v>
      </c>
      <c r="AF59" s="117">
        <f t="shared" si="35"/>
        <v>2.9888268156424584</v>
      </c>
      <c r="AG59" s="117">
        <f t="shared" si="35"/>
        <v>1.4245810055865924</v>
      </c>
      <c r="AH59" s="117">
        <f t="shared" si="35"/>
        <v>0.83798882681564257</v>
      </c>
      <c r="AI59" s="117">
        <f t="shared" si="35"/>
        <v>1.8156424581005588</v>
      </c>
      <c r="AJ59" s="117">
        <f t="shared" si="35"/>
        <v>1.3128491620111733</v>
      </c>
      <c r="AK59" s="145">
        <f t="shared" si="21"/>
        <v>14.106145251396651</v>
      </c>
      <c r="AM59">
        <v>47</v>
      </c>
      <c r="AN59" s="150">
        <f t="shared" si="37"/>
        <v>0.2</v>
      </c>
      <c r="AO59">
        <v>47</v>
      </c>
      <c r="AP59" s="150">
        <v>0.2</v>
      </c>
      <c r="AR59" s="1"/>
    </row>
    <row r="60" spans="1:44" x14ac:dyDescent="0.25">
      <c r="A60" t="str">
        <f t="shared" si="9"/>
        <v>マンション</v>
      </c>
      <c r="B60" s="118">
        <f>住居!B53</f>
        <v>71</v>
      </c>
      <c r="C60" s="118">
        <f>住居!C53</f>
        <v>37</v>
      </c>
      <c r="D60" s="118">
        <f t="shared" si="10"/>
        <v>36.555689999999998</v>
      </c>
      <c r="E60" s="1">
        <f t="shared" si="11"/>
        <v>36.555689999999998</v>
      </c>
      <c r="F60" s="1">
        <f t="shared" si="12"/>
        <v>3.7035833333333321</v>
      </c>
      <c r="H60" s="112">
        <f t="shared" si="36"/>
        <v>18</v>
      </c>
      <c r="I60" s="112">
        <f t="shared" si="3"/>
        <v>14.399999999999999</v>
      </c>
      <c r="J60" s="112">
        <f t="shared" si="3"/>
        <v>0</v>
      </c>
      <c r="K60" s="86"/>
      <c r="L60" s="86"/>
      <c r="M60" s="112">
        <f t="shared" si="14"/>
        <v>0</v>
      </c>
      <c r="N60" s="117">
        <f t="shared" si="15"/>
        <v>2.8890399999999996</v>
      </c>
      <c r="O60" s="117">
        <f t="shared" si="16"/>
        <v>1.2666499999999996</v>
      </c>
      <c r="P60" s="112">
        <f t="shared" si="17"/>
        <v>36.555689999999998</v>
      </c>
      <c r="R60" s="117">
        <f t="shared" si="33"/>
        <v>0</v>
      </c>
      <c r="S60" s="117">
        <f t="shared" si="33"/>
        <v>0</v>
      </c>
      <c r="T60" s="117">
        <f t="shared" si="33"/>
        <v>0</v>
      </c>
      <c r="U60" s="117">
        <f t="shared" si="33"/>
        <v>0</v>
      </c>
      <c r="V60" s="117">
        <f t="shared" si="33"/>
        <v>0</v>
      </c>
      <c r="W60" s="117">
        <f t="shared" si="33"/>
        <v>0</v>
      </c>
      <c r="X60" s="112">
        <f t="shared" si="18"/>
        <v>0</v>
      </c>
      <c r="Y60" s="117">
        <f t="shared" si="19"/>
        <v>1.1318999999999999</v>
      </c>
      <c r="Z60" s="117">
        <f t="shared" si="20"/>
        <v>2.5716833333333322</v>
      </c>
      <c r="AA60" s="144">
        <f t="shared" si="31"/>
        <v>3.7035833333333321</v>
      </c>
      <c r="AC60" s="117">
        <f t="shared" si="34"/>
        <v>2.0670391061452515</v>
      </c>
      <c r="AD60" s="117">
        <f t="shared" si="34"/>
        <v>3.6592178770949721</v>
      </c>
      <c r="AE60" s="117">
        <f t="shared" si="32"/>
        <v>0</v>
      </c>
      <c r="AF60" s="117">
        <f t="shared" si="35"/>
        <v>2.9888268156424584</v>
      </c>
      <c r="AG60" s="117">
        <f t="shared" si="35"/>
        <v>1.4245810055865924</v>
      </c>
      <c r="AH60" s="117">
        <f t="shared" si="35"/>
        <v>0.83798882681564257</v>
      </c>
      <c r="AI60" s="117">
        <f t="shared" si="35"/>
        <v>1.8156424581005588</v>
      </c>
      <c r="AJ60" s="117">
        <f t="shared" si="35"/>
        <v>1.3128491620111733</v>
      </c>
      <c r="AK60" s="145">
        <f t="shared" si="21"/>
        <v>14.106145251396651</v>
      </c>
      <c r="AM60">
        <v>48</v>
      </c>
      <c r="AN60" s="150">
        <f t="shared" si="37"/>
        <v>0.2</v>
      </c>
      <c r="AO60">
        <v>48</v>
      </c>
      <c r="AP60" s="150">
        <v>0.2</v>
      </c>
      <c r="AR60" s="1"/>
    </row>
    <row r="61" spans="1:44" x14ac:dyDescent="0.25">
      <c r="A61" t="str">
        <f t="shared" si="9"/>
        <v>マンション</v>
      </c>
      <c r="B61" s="118">
        <f>住居!B54</f>
        <v>72</v>
      </c>
      <c r="C61" s="118">
        <f>住居!C54</f>
        <v>38</v>
      </c>
      <c r="D61" s="118">
        <f t="shared" si="10"/>
        <v>36.424369999999996</v>
      </c>
      <c r="E61" s="1">
        <f t="shared" si="11"/>
        <v>36.424369999999996</v>
      </c>
      <c r="F61" s="1">
        <f t="shared" si="12"/>
        <v>3.7035833333333321</v>
      </c>
      <c r="H61" s="112">
        <f t="shared" si="36"/>
        <v>18</v>
      </c>
      <c r="I61" s="112">
        <f t="shared" si="3"/>
        <v>14.399999999999999</v>
      </c>
      <c r="J61" s="112">
        <f t="shared" si="3"/>
        <v>0</v>
      </c>
      <c r="K61" s="86"/>
      <c r="L61" s="86"/>
      <c r="M61" s="112">
        <f t="shared" si="14"/>
        <v>0</v>
      </c>
      <c r="N61" s="117">
        <f t="shared" si="15"/>
        <v>2.7577199999999995</v>
      </c>
      <c r="O61" s="117">
        <f t="shared" si="16"/>
        <v>1.2666499999999996</v>
      </c>
      <c r="P61" s="112">
        <f t="shared" si="17"/>
        <v>36.424369999999996</v>
      </c>
      <c r="R61" s="117">
        <f t="shared" si="33"/>
        <v>0</v>
      </c>
      <c r="S61" s="117">
        <f t="shared" si="33"/>
        <v>0</v>
      </c>
      <c r="T61" s="117">
        <f t="shared" si="33"/>
        <v>0</v>
      </c>
      <c r="U61" s="117">
        <f t="shared" si="33"/>
        <v>0</v>
      </c>
      <c r="V61" s="117">
        <f t="shared" si="33"/>
        <v>0</v>
      </c>
      <c r="W61" s="117">
        <f t="shared" si="33"/>
        <v>0</v>
      </c>
      <c r="X61" s="112">
        <f t="shared" si="18"/>
        <v>0</v>
      </c>
      <c r="Y61" s="117">
        <f t="shared" si="19"/>
        <v>1.1318999999999999</v>
      </c>
      <c r="Z61" s="117">
        <f t="shared" si="20"/>
        <v>2.5716833333333322</v>
      </c>
      <c r="AA61" s="144">
        <f t="shared" si="31"/>
        <v>3.7035833333333321</v>
      </c>
      <c r="AC61" s="117">
        <f t="shared" si="34"/>
        <v>2.0670391061452515</v>
      </c>
      <c r="AD61" s="117">
        <f t="shared" si="34"/>
        <v>3.6592178770949721</v>
      </c>
      <c r="AE61" s="117">
        <f t="shared" si="32"/>
        <v>0</v>
      </c>
      <c r="AF61" s="117">
        <f t="shared" si="35"/>
        <v>2.9888268156424584</v>
      </c>
      <c r="AG61" s="117">
        <f t="shared" si="35"/>
        <v>1.4245810055865924</v>
      </c>
      <c r="AH61" s="117">
        <f t="shared" si="35"/>
        <v>0.83798882681564257</v>
      </c>
      <c r="AI61" s="117">
        <f t="shared" si="35"/>
        <v>1.8156424581005588</v>
      </c>
      <c r="AJ61" s="117">
        <f t="shared" si="35"/>
        <v>1.3128491620111733</v>
      </c>
      <c r="AK61" s="145">
        <f t="shared" si="21"/>
        <v>14.106145251396651</v>
      </c>
      <c r="AM61">
        <v>49</v>
      </c>
      <c r="AN61" s="150">
        <f t="shared" si="37"/>
        <v>0.2</v>
      </c>
      <c r="AO61">
        <v>49</v>
      </c>
      <c r="AP61" s="150">
        <v>0.2</v>
      </c>
      <c r="AR61" s="1"/>
    </row>
    <row r="62" spans="1:44" x14ac:dyDescent="0.25">
      <c r="A62" t="str">
        <f t="shared" si="9"/>
        <v>マンション</v>
      </c>
      <c r="B62" s="118">
        <f>住居!B55</f>
        <v>73</v>
      </c>
      <c r="C62" s="118">
        <f>住居!C55</f>
        <v>39</v>
      </c>
      <c r="D62" s="118">
        <f t="shared" si="10"/>
        <v>36.424369999999996</v>
      </c>
      <c r="E62" s="1">
        <f t="shared" si="11"/>
        <v>36.424369999999996</v>
      </c>
      <c r="F62" s="1">
        <f t="shared" si="12"/>
        <v>3.7035833333333321</v>
      </c>
      <c r="H62" s="112">
        <f t="shared" si="36"/>
        <v>18</v>
      </c>
      <c r="I62" s="112">
        <f t="shared" si="3"/>
        <v>14.399999999999999</v>
      </c>
      <c r="J62" s="112">
        <f t="shared" si="3"/>
        <v>0</v>
      </c>
      <c r="K62" s="86"/>
      <c r="L62" s="86"/>
      <c r="M62" s="112">
        <f t="shared" si="14"/>
        <v>0</v>
      </c>
      <c r="N62" s="117">
        <f t="shared" si="15"/>
        <v>2.7577199999999995</v>
      </c>
      <c r="O62" s="117">
        <f t="shared" si="16"/>
        <v>1.2666499999999996</v>
      </c>
      <c r="P62" s="112">
        <f t="shared" si="17"/>
        <v>36.424369999999996</v>
      </c>
      <c r="R62" s="117">
        <f t="shared" si="33"/>
        <v>0</v>
      </c>
      <c r="S62" s="117">
        <f t="shared" si="33"/>
        <v>0</v>
      </c>
      <c r="T62" s="117">
        <f t="shared" si="33"/>
        <v>0</v>
      </c>
      <c r="U62" s="117">
        <f t="shared" si="33"/>
        <v>0</v>
      </c>
      <c r="V62" s="117">
        <f t="shared" si="33"/>
        <v>0</v>
      </c>
      <c r="W62" s="117">
        <f t="shared" si="33"/>
        <v>0</v>
      </c>
      <c r="X62" s="112">
        <f t="shared" si="18"/>
        <v>0</v>
      </c>
      <c r="Y62" s="117">
        <f t="shared" si="19"/>
        <v>1.1318999999999999</v>
      </c>
      <c r="Z62" s="117">
        <f t="shared" si="20"/>
        <v>2.5716833333333322</v>
      </c>
      <c r="AA62" s="144">
        <f t="shared" si="31"/>
        <v>3.7035833333333321</v>
      </c>
      <c r="AC62" s="117">
        <f t="shared" si="34"/>
        <v>2.0670391061452515</v>
      </c>
      <c r="AD62" s="117">
        <f t="shared" si="34"/>
        <v>3.6592178770949721</v>
      </c>
      <c r="AE62" s="117">
        <f t="shared" si="32"/>
        <v>0</v>
      </c>
      <c r="AF62" s="117">
        <f t="shared" si="35"/>
        <v>2.9888268156424584</v>
      </c>
      <c r="AG62" s="117">
        <f t="shared" si="35"/>
        <v>1.4245810055865924</v>
      </c>
      <c r="AH62" s="117">
        <f t="shared" si="35"/>
        <v>0.83798882681564257</v>
      </c>
      <c r="AI62" s="117">
        <f t="shared" si="35"/>
        <v>1.8156424581005588</v>
      </c>
      <c r="AJ62" s="117">
        <f t="shared" si="35"/>
        <v>1.3128491620111733</v>
      </c>
      <c r="AK62" s="145">
        <f t="shared" si="21"/>
        <v>14.106145251396651</v>
      </c>
      <c r="AM62">
        <v>50</v>
      </c>
      <c r="AN62" s="150">
        <f t="shared" si="37"/>
        <v>0.2</v>
      </c>
      <c r="AO62">
        <v>50</v>
      </c>
      <c r="AP62" s="150">
        <v>0.2</v>
      </c>
      <c r="AR62" s="1"/>
    </row>
    <row r="63" spans="1:44" x14ac:dyDescent="0.25">
      <c r="A63" t="str">
        <f t="shared" si="9"/>
        <v>マンション</v>
      </c>
      <c r="B63" s="118">
        <f>住居!B56</f>
        <v>74</v>
      </c>
      <c r="C63" s="118">
        <f>住居!C56</f>
        <v>40</v>
      </c>
      <c r="D63" s="118">
        <f t="shared" si="10"/>
        <v>36.384974</v>
      </c>
      <c r="E63" s="1">
        <f t="shared" si="11"/>
        <v>36.384974</v>
      </c>
      <c r="F63" s="1">
        <f t="shared" si="12"/>
        <v>95.132154761904758</v>
      </c>
      <c r="H63" s="112">
        <f t="shared" si="36"/>
        <v>18</v>
      </c>
      <c r="I63" s="112">
        <f t="shared" si="3"/>
        <v>14.399999999999999</v>
      </c>
      <c r="J63" s="112">
        <f t="shared" si="3"/>
        <v>0</v>
      </c>
      <c r="K63" s="86"/>
      <c r="L63" s="86"/>
      <c r="M63" s="112">
        <f t="shared" si="14"/>
        <v>0</v>
      </c>
      <c r="N63" s="117">
        <f t="shared" si="15"/>
        <v>2.7183239999999995</v>
      </c>
      <c r="O63" s="117">
        <f t="shared" si="16"/>
        <v>1.2666499999999996</v>
      </c>
      <c r="P63" s="112">
        <f t="shared" si="17"/>
        <v>36.384974</v>
      </c>
      <c r="R63" s="117">
        <f t="shared" ref="R63:W77" si="38">IF($C63&gt;0,IF(MOD($C63,5)=0,R$9*5,0),0)</f>
        <v>40</v>
      </c>
      <c r="S63" s="117">
        <f t="shared" si="38"/>
        <v>14.285714285714286</v>
      </c>
      <c r="T63" s="117">
        <f t="shared" si="38"/>
        <v>8.5714285714285712</v>
      </c>
      <c r="U63" s="117">
        <f t="shared" si="38"/>
        <v>20</v>
      </c>
      <c r="V63" s="117">
        <f t="shared" si="38"/>
        <v>0</v>
      </c>
      <c r="W63" s="117">
        <f t="shared" si="38"/>
        <v>8.5714285714285712</v>
      </c>
      <c r="X63" s="112">
        <f t="shared" si="18"/>
        <v>0</v>
      </c>
      <c r="Y63" s="117">
        <f t="shared" si="19"/>
        <v>1.1318999999999999</v>
      </c>
      <c r="Z63" s="117">
        <f t="shared" si="20"/>
        <v>2.5716833333333322</v>
      </c>
      <c r="AA63" s="144">
        <f t="shared" si="31"/>
        <v>95.132154761904758</v>
      </c>
      <c r="AC63" s="117">
        <f t="shared" si="34"/>
        <v>2.0670391061452515</v>
      </c>
      <c r="AD63" s="117">
        <f t="shared" si="34"/>
        <v>3.6592178770949721</v>
      </c>
      <c r="AE63" s="117">
        <f t="shared" si="32"/>
        <v>0</v>
      </c>
      <c r="AF63" s="117">
        <f t="shared" ref="AF63:AJ77" si="39">IF($C63&gt;=0,AF$5,0)</f>
        <v>2.9888268156424584</v>
      </c>
      <c r="AG63" s="117">
        <f t="shared" si="39"/>
        <v>1.4245810055865924</v>
      </c>
      <c r="AH63" s="117">
        <f t="shared" si="39"/>
        <v>0.83798882681564257</v>
      </c>
      <c r="AI63" s="117">
        <f t="shared" si="39"/>
        <v>1.8156424581005588</v>
      </c>
      <c r="AJ63" s="117">
        <f t="shared" si="39"/>
        <v>1.3128491620111733</v>
      </c>
      <c r="AK63" s="145">
        <f t="shared" si="21"/>
        <v>14.106145251396651</v>
      </c>
      <c r="AM63">
        <v>51</v>
      </c>
      <c r="AN63" s="150">
        <f t="shared" si="37"/>
        <v>0.2</v>
      </c>
      <c r="AO63">
        <v>51</v>
      </c>
      <c r="AP63" s="150">
        <v>0.2</v>
      </c>
      <c r="AR63" s="1"/>
    </row>
    <row r="64" spans="1:44" x14ac:dyDescent="0.25">
      <c r="A64" t="str">
        <f t="shared" si="9"/>
        <v>マンション</v>
      </c>
      <c r="B64" s="118">
        <f>住居!B57</f>
        <v>75</v>
      </c>
      <c r="C64" s="118">
        <f>住居!C57</f>
        <v>41</v>
      </c>
      <c r="D64" s="118">
        <f t="shared" si="10"/>
        <v>36.362649599999997</v>
      </c>
      <c r="E64" s="1">
        <f t="shared" si="11"/>
        <v>36.362649599999997</v>
      </c>
      <c r="F64" s="1">
        <f t="shared" si="12"/>
        <v>3.7035833333333321</v>
      </c>
      <c r="H64" s="112">
        <f t="shared" si="36"/>
        <v>18</v>
      </c>
      <c r="I64" s="112">
        <f t="shared" si="3"/>
        <v>14.399999999999999</v>
      </c>
      <c r="J64" s="112">
        <f t="shared" si="3"/>
        <v>0</v>
      </c>
      <c r="K64" s="86"/>
      <c r="L64" s="86"/>
      <c r="M64" s="112">
        <f t="shared" si="14"/>
        <v>0</v>
      </c>
      <c r="N64" s="117">
        <f t="shared" si="15"/>
        <v>2.6959995999999995</v>
      </c>
      <c r="O64" s="117">
        <f t="shared" si="16"/>
        <v>1.2666499999999996</v>
      </c>
      <c r="P64" s="112">
        <f t="shared" si="17"/>
        <v>36.362649599999997</v>
      </c>
      <c r="R64" s="117">
        <f t="shared" si="38"/>
        <v>0</v>
      </c>
      <c r="S64" s="117">
        <f t="shared" si="38"/>
        <v>0</v>
      </c>
      <c r="T64" s="117">
        <f t="shared" si="38"/>
        <v>0</v>
      </c>
      <c r="U64" s="117">
        <f t="shared" si="38"/>
        <v>0</v>
      </c>
      <c r="V64" s="117">
        <f t="shared" si="38"/>
        <v>0</v>
      </c>
      <c r="W64" s="117">
        <f t="shared" si="38"/>
        <v>0</v>
      </c>
      <c r="X64" s="112">
        <f t="shared" si="18"/>
        <v>0</v>
      </c>
      <c r="Y64" s="117">
        <f t="shared" si="19"/>
        <v>1.1318999999999999</v>
      </c>
      <c r="Z64" s="117">
        <f t="shared" si="20"/>
        <v>2.5716833333333322</v>
      </c>
      <c r="AA64" s="144">
        <f t="shared" si="31"/>
        <v>3.7035833333333321</v>
      </c>
      <c r="AC64" s="117">
        <f t="shared" si="34"/>
        <v>2.0670391061452515</v>
      </c>
      <c r="AD64" s="117">
        <f t="shared" si="34"/>
        <v>3.6592178770949721</v>
      </c>
      <c r="AE64" s="117">
        <f t="shared" si="32"/>
        <v>0</v>
      </c>
      <c r="AF64" s="117">
        <f t="shared" si="39"/>
        <v>2.9888268156424584</v>
      </c>
      <c r="AG64" s="117">
        <f t="shared" si="39"/>
        <v>1.4245810055865924</v>
      </c>
      <c r="AH64" s="117">
        <f t="shared" si="39"/>
        <v>0.83798882681564257</v>
      </c>
      <c r="AI64" s="117">
        <f t="shared" si="39"/>
        <v>1.8156424581005588</v>
      </c>
      <c r="AJ64" s="117">
        <f t="shared" si="39"/>
        <v>1.3128491620111733</v>
      </c>
      <c r="AK64" s="145">
        <f t="shared" si="21"/>
        <v>14.106145251396651</v>
      </c>
      <c r="AM64">
        <v>52</v>
      </c>
      <c r="AN64" s="150">
        <f t="shared" si="37"/>
        <v>0.2</v>
      </c>
      <c r="AO64">
        <v>52</v>
      </c>
      <c r="AP64" s="150">
        <v>0.2</v>
      </c>
      <c r="AR64" s="1"/>
    </row>
    <row r="65" spans="1:44" x14ac:dyDescent="0.25">
      <c r="A65" t="str">
        <f t="shared" si="9"/>
        <v>マンション</v>
      </c>
      <c r="B65" s="118">
        <f>住居!B58</f>
        <v>76</v>
      </c>
      <c r="C65" s="118">
        <f>住居!C58</f>
        <v>42</v>
      </c>
      <c r="D65" s="118">
        <f t="shared" si="10"/>
        <v>36.340325199999995</v>
      </c>
      <c r="E65" s="1">
        <f t="shared" si="11"/>
        <v>36.340325199999995</v>
      </c>
      <c r="F65" s="1">
        <f t="shared" si="12"/>
        <v>3.7035833333333321</v>
      </c>
      <c r="H65" s="112">
        <f t="shared" si="36"/>
        <v>18</v>
      </c>
      <c r="I65" s="112">
        <f t="shared" si="3"/>
        <v>14.399999999999999</v>
      </c>
      <c r="J65" s="112">
        <f t="shared" si="3"/>
        <v>0</v>
      </c>
      <c r="K65" s="86"/>
      <c r="L65" s="86"/>
      <c r="M65" s="112">
        <f t="shared" si="14"/>
        <v>0</v>
      </c>
      <c r="N65" s="117">
        <f t="shared" si="15"/>
        <v>2.6736751999999995</v>
      </c>
      <c r="O65" s="117">
        <f t="shared" si="16"/>
        <v>1.2666499999999996</v>
      </c>
      <c r="P65" s="112">
        <f t="shared" si="17"/>
        <v>36.340325199999995</v>
      </c>
      <c r="R65" s="117">
        <f t="shared" si="38"/>
        <v>0</v>
      </c>
      <c r="S65" s="117">
        <f t="shared" si="38"/>
        <v>0</v>
      </c>
      <c r="T65" s="117">
        <f t="shared" si="38"/>
        <v>0</v>
      </c>
      <c r="U65" s="117">
        <f t="shared" si="38"/>
        <v>0</v>
      </c>
      <c r="V65" s="117">
        <f t="shared" si="38"/>
        <v>0</v>
      </c>
      <c r="W65" s="117">
        <f t="shared" si="38"/>
        <v>0</v>
      </c>
      <c r="X65" s="112">
        <f t="shared" si="18"/>
        <v>0</v>
      </c>
      <c r="Y65" s="117">
        <f t="shared" si="19"/>
        <v>1.1318999999999999</v>
      </c>
      <c r="Z65" s="117">
        <f t="shared" si="20"/>
        <v>2.5716833333333322</v>
      </c>
      <c r="AA65" s="144">
        <f t="shared" si="31"/>
        <v>3.7035833333333321</v>
      </c>
      <c r="AC65" s="117">
        <f t="shared" si="34"/>
        <v>2.0670391061452515</v>
      </c>
      <c r="AD65" s="117">
        <f t="shared" si="34"/>
        <v>3.6592178770949721</v>
      </c>
      <c r="AE65" s="117">
        <f t="shared" si="32"/>
        <v>0</v>
      </c>
      <c r="AF65" s="117">
        <f t="shared" si="39"/>
        <v>2.9888268156424584</v>
      </c>
      <c r="AG65" s="117">
        <f t="shared" si="39"/>
        <v>1.4245810055865924</v>
      </c>
      <c r="AH65" s="117">
        <f t="shared" si="39"/>
        <v>0.83798882681564257</v>
      </c>
      <c r="AI65" s="117">
        <f t="shared" si="39"/>
        <v>1.8156424581005588</v>
      </c>
      <c r="AJ65" s="117">
        <f t="shared" si="39"/>
        <v>1.3128491620111733</v>
      </c>
      <c r="AK65" s="145">
        <f t="shared" si="21"/>
        <v>14.106145251396651</v>
      </c>
      <c r="AM65">
        <v>53</v>
      </c>
      <c r="AN65" s="150">
        <f t="shared" si="37"/>
        <v>0.2</v>
      </c>
      <c r="AO65">
        <v>53</v>
      </c>
      <c r="AP65" s="150">
        <v>0.2</v>
      </c>
      <c r="AR65" s="1"/>
    </row>
    <row r="66" spans="1:44" x14ac:dyDescent="0.25">
      <c r="A66" t="str">
        <f t="shared" si="9"/>
        <v>マンション</v>
      </c>
      <c r="B66" s="118">
        <f>住居!B59</f>
        <v>77</v>
      </c>
      <c r="C66" s="118">
        <f>住居!C59</f>
        <v>43</v>
      </c>
      <c r="D66" s="118">
        <f t="shared" si="10"/>
        <v>36.316687599999995</v>
      </c>
      <c r="E66" s="1">
        <f t="shared" si="11"/>
        <v>36.316687599999995</v>
      </c>
      <c r="F66" s="1">
        <f t="shared" si="12"/>
        <v>3.7035833333333321</v>
      </c>
      <c r="H66" s="112">
        <f t="shared" si="36"/>
        <v>18</v>
      </c>
      <c r="I66" s="112">
        <f t="shared" si="3"/>
        <v>14.399999999999999</v>
      </c>
      <c r="J66" s="112">
        <f t="shared" si="3"/>
        <v>0</v>
      </c>
      <c r="K66" s="86"/>
      <c r="L66" s="86"/>
      <c r="M66" s="112">
        <f t="shared" si="14"/>
        <v>0</v>
      </c>
      <c r="N66" s="117">
        <f t="shared" si="15"/>
        <v>2.6500375999999997</v>
      </c>
      <c r="O66" s="117">
        <f t="shared" si="16"/>
        <v>1.2666499999999996</v>
      </c>
      <c r="P66" s="112">
        <f t="shared" si="17"/>
        <v>36.316687599999995</v>
      </c>
      <c r="R66" s="117">
        <f t="shared" si="38"/>
        <v>0</v>
      </c>
      <c r="S66" s="117">
        <f t="shared" si="38"/>
        <v>0</v>
      </c>
      <c r="T66" s="117">
        <f t="shared" si="38"/>
        <v>0</v>
      </c>
      <c r="U66" s="117">
        <f t="shared" si="38"/>
        <v>0</v>
      </c>
      <c r="V66" s="117">
        <f t="shared" si="38"/>
        <v>0</v>
      </c>
      <c r="W66" s="117">
        <f t="shared" si="38"/>
        <v>0</v>
      </c>
      <c r="X66" s="112">
        <f t="shared" si="18"/>
        <v>0</v>
      </c>
      <c r="Y66" s="117">
        <f t="shared" si="19"/>
        <v>1.1318999999999999</v>
      </c>
      <c r="Z66" s="117">
        <f t="shared" si="20"/>
        <v>2.5716833333333322</v>
      </c>
      <c r="AA66" s="144">
        <f t="shared" si="31"/>
        <v>3.7035833333333321</v>
      </c>
      <c r="AC66" s="117">
        <f t="shared" si="34"/>
        <v>2.0670391061452515</v>
      </c>
      <c r="AD66" s="117">
        <f t="shared" si="34"/>
        <v>3.6592178770949721</v>
      </c>
      <c r="AE66" s="117">
        <f t="shared" si="32"/>
        <v>0</v>
      </c>
      <c r="AF66" s="117">
        <f t="shared" si="39"/>
        <v>2.9888268156424584</v>
      </c>
      <c r="AG66" s="117">
        <f t="shared" si="39"/>
        <v>1.4245810055865924</v>
      </c>
      <c r="AH66" s="117">
        <f t="shared" si="39"/>
        <v>0.83798882681564257</v>
      </c>
      <c r="AI66" s="117">
        <f t="shared" si="39"/>
        <v>1.8156424581005588</v>
      </c>
      <c r="AJ66" s="117">
        <f t="shared" si="39"/>
        <v>1.3128491620111733</v>
      </c>
      <c r="AK66" s="145">
        <f t="shared" si="21"/>
        <v>14.106145251396651</v>
      </c>
      <c r="AM66">
        <v>54</v>
      </c>
      <c r="AN66" s="150">
        <f t="shared" si="37"/>
        <v>0.2</v>
      </c>
      <c r="AO66">
        <v>54</v>
      </c>
      <c r="AP66" s="150">
        <v>0.2</v>
      </c>
      <c r="AR66" s="1"/>
    </row>
    <row r="67" spans="1:44" x14ac:dyDescent="0.25">
      <c r="A67" t="str">
        <f t="shared" si="9"/>
        <v>マンション</v>
      </c>
      <c r="B67" s="118">
        <f>住居!B60</f>
        <v>78</v>
      </c>
      <c r="C67" s="118">
        <f>住居!C60</f>
        <v>44</v>
      </c>
      <c r="D67" s="118">
        <f t="shared" si="10"/>
        <v>36.293049999999994</v>
      </c>
      <c r="E67" s="1">
        <f t="shared" si="11"/>
        <v>36.293049999999994</v>
      </c>
      <c r="F67" s="1">
        <f t="shared" si="12"/>
        <v>3.7035833333333321</v>
      </c>
      <c r="H67" s="112">
        <f t="shared" si="36"/>
        <v>18</v>
      </c>
      <c r="I67" s="112">
        <f t="shared" si="3"/>
        <v>14.399999999999999</v>
      </c>
      <c r="J67" s="112">
        <f t="shared" si="3"/>
        <v>0</v>
      </c>
      <c r="K67" s="86"/>
      <c r="L67" s="86"/>
      <c r="M67" s="112">
        <f t="shared" si="14"/>
        <v>0</v>
      </c>
      <c r="N67" s="117">
        <f t="shared" si="15"/>
        <v>2.6263999999999998</v>
      </c>
      <c r="O67" s="117">
        <f t="shared" si="16"/>
        <v>1.2666499999999996</v>
      </c>
      <c r="P67" s="112">
        <f t="shared" si="17"/>
        <v>36.293049999999994</v>
      </c>
      <c r="R67" s="117">
        <f t="shared" si="38"/>
        <v>0</v>
      </c>
      <c r="S67" s="117">
        <f t="shared" si="38"/>
        <v>0</v>
      </c>
      <c r="T67" s="117">
        <f t="shared" si="38"/>
        <v>0</v>
      </c>
      <c r="U67" s="117">
        <f t="shared" si="38"/>
        <v>0</v>
      </c>
      <c r="V67" s="117">
        <f t="shared" si="38"/>
        <v>0</v>
      </c>
      <c r="W67" s="117">
        <f t="shared" si="38"/>
        <v>0</v>
      </c>
      <c r="X67" s="112">
        <f t="shared" si="18"/>
        <v>0</v>
      </c>
      <c r="Y67" s="117">
        <f t="shared" si="19"/>
        <v>1.1318999999999999</v>
      </c>
      <c r="Z67" s="117">
        <f t="shared" si="20"/>
        <v>2.5716833333333322</v>
      </c>
      <c r="AA67" s="144">
        <f t="shared" si="31"/>
        <v>3.7035833333333321</v>
      </c>
      <c r="AC67" s="117">
        <f t="shared" si="34"/>
        <v>2.0670391061452515</v>
      </c>
      <c r="AD67" s="117">
        <f t="shared" si="34"/>
        <v>3.6592178770949721</v>
      </c>
      <c r="AE67" s="117">
        <f t="shared" si="32"/>
        <v>0</v>
      </c>
      <c r="AF67" s="117">
        <f t="shared" si="39"/>
        <v>2.9888268156424584</v>
      </c>
      <c r="AG67" s="117">
        <f t="shared" si="39"/>
        <v>1.4245810055865924</v>
      </c>
      <c r="AH67" s="117">
        <f t="shared" si="39"/>
        <v>0.83798882681564257</v>
      </c>
      <c r="AI67" s="117">
        <f t="shared" si="39"/>
        <v>1.8156424581005588</v>
      </c>
      <c r="AJ67" s="117">
        <f t="shared" si="39"/>
        <v>1.3128491620111733</v>
      </c>
      <c r="AK67" s="145">
        <f t="shared" si="21"/>
        <v>14.106145251396651</v>
      </c>
      <c r="AM67">
        <v>55</v>
      </c>
      <c r="AN67" s="150">
        <f t="shared" si="37"/>
        <v>0.2</v>
      </c>
      <c r="AO67">
        <v>55</v>
      </c>
      <c r="AP67" s="150">
        <v>0.2</v>
      </c>
      <c r="AR67" s="1"/>
    </row>
    <row r="68" spans="1:44" x14ac:dyDescent="0.25">
      <c r="A68" t="str">
        <f t="shared" si="9"/>
        <v>マンション</v>
      </c>
      <c r="B68" s="118">
        <f>住居!B61</f>
        <v>79</v>
      </c>
      <c r="C68" s="118">
        <f>住居!C61</f>
        <v>45</v>
      </c>
      <c r="D68" s="118">
        <f t="shared" si="10"/>
        <v>36.293049999999994</v>
      </c>
      <c r="E68" s="1">
        <f t="shared" si="11"/>
        <v>36.293049999999994</v>
      </c>
      <c r="F68" s="1">
        <f t="shared" si="12"/>
        <v>95.132154761904758</v>
      </c>
      <c r="H68" s="112">
        <f t="shared" si="36"/>
        <v>18</v>
      </c>
      <c r="I68" s="112">
        <f t="shared" si="3"/>
        <v>14.399999999999999</v>
      </c>
      <c r="J68" s="112">
        <f t="shared" si="3"/>
        <v>0</v>
      </c>
      <c r="K68" s="86"/>
      <c r="L68" s="86"/>
      <c r="M68" s="112">
        <f t="shared" si="14"/>
        <v>0</v>
      </c>
      <c r="N68" s="117">
        <f t="shared" si="15"/>
        <v>2.6263999999999998</v>
      </c>
      <c r="O68" s="117">
        <f t="shared" si="16"/>
        <v>1.2666499999999996</v>
      </c>
      <c r="P68" s="112">
        <f t="shared" si="17"/>
        <v>36.293049999999994</v>
      </c>
      <c r="R68" s="117">
        <f t="shared" si="38"/>
        <v>40</v>
      </c>
      <c r="S68" s="117">
        <f t="shared" si="38"/>
        <v>14.285714285714286</v>
      </c>
      <c r="T68" s="117">
        <f t="shared" si="38"/>
        <v>8.5714285714285712</v>
      </c>
      <c r="U68" s="117">
        <f t="shared" si="38"/>
        <v>20</v>
      </c>
      <c r="V68" s="117">
        <f t="shared" si="38"/>
        <v>0</v>
      </c>
      <c r="W68" s="117">
        <f t="shared" si="38"/>
        <v>8.5714285714285712</v>
      </c>
      <c r="X68" s="112">
        <f t="shared" si="18"/>
        <v>0</v>
      </c>
      <c r="Y68" s="117">
        <f t="shared" si="19"/>
        <v>1.1318999999999999</v>
      </c>
      <c r="Z68" s="117">
        <f t="shared" si="20"/>
        <v>2.5716833333333322</v>
      </c>
      <c r="AA68" s="144">
        <f t="shared" si="31"/>
        <v>95.132154761904758</v>
      </c>
      <c r="AC68" s="117">
        <f t="shared" si="34"/>
        <v>2.0670391061452515</v>
      </c>
      <c r="AD68" s="117">
        <f t="shared" si="34"/>
        <v>3.6592178770949721</v>
      </c>
      <c r="AE68" s="117">
        <f t="shared" si="32"/>
        <v>0</v>
      </c>
      <c r="AF68" s="117">
        <f t="shared" si="39"/>
        <v>2.9888268156424584</v>
      </c>
      <c r="AG68" s="117">
        <f t="shared" si="39"/>
        <v>1.4245810055865924</v>
      </c>
      <c r="AH68" s="117">
        <f t="shared" si="39"/>
        <v>0.83798882681564257</v>
      </c>
      <c r="AI68" s="117">
        <f t="shared" si="39"/>
        <v>1.8156424581005588</v>
      </c>
      <c r="AJ68" s="117">
        <f t="shared" si="39"/>
        <v>1.3128491620111733</v>
      </c>
      <c r="AK68" s="145">
        <f t="shared" si="21"/>
        <v>14.106145251396651</v>
      </c>
      <c r="AM68">
        <v>56</v>
      </c>
      <c r="AN68" s="150">
        <f t="shared" si="37"/>
        <v>0.2</v>
      </c>
      <c r="AO68">
        <v>56</v>
      </c>
      <c r="AP68" s="150">
        <v>0.2</v>
      </c>
      <c r="AR68" s="1"/>
    </row>
    <row r="69" spans="1:44" x14ac:dyDescent="0.25">
      <c r="A69" t="str">
        <f t="shared" si="9"/>
        <v>マンション</v>
      </c>
      <c r="B69" s="118">
        <f>住居!B62</f>
        <v>80</v>
      </c>
      <c r="C69" s="118">
        <f>住居!C62</f>
        <v>46</v>
      </c>
      <c r="D69" s="118">
        <f t="shared" si="10"/>
        <v>36.293049999999994</v>
      </c>
      <c r="E69" s="1">
        <f t="shared" si="11"/>
        <v>36.293049999999994</v>
      </c>
      <c r="F69" s="1">
        <f t="shared" si="12"/>
        <v>3.7035833333333321</v>
      </c>
      <c r="H69" s="112">
        <f t="shared" si="36"/>
        <v>18</v>
      </c>
      <c r="I69" s="112">
        <f t="shared" si="3"/>
        <v>14.399999999999999</v>
      </c>
      <c r="J69" s="112">
        <f t="shared" si="3"/>
        <v>0</v>
      </c>
      <c r="K69" s="86"/>
      <c r="L69" s="86"/>
      <c r="M69" s="112">
        <f t="shared" si="14"/>
        <v>0</v>
      </c>
      <c r="N69" s="117">
        <f t="shared" si="15"/>
        <v>2.6263999999999998</v>
      </c>
      <c r="O69" s="117">
        <f t="shared" si="16"/>
        <v>1.2666499999999996</v>
      </c>
      <c r="P69" s="112">
        <f t="shared" si="17"/>
        <v>36.293049999999994</v>
      </c>
      <c r="R69" s="117">
        <f t="shared" si="38"/>
        <v>0</v>
      </c>
      <c r="S69" s="117">
        <f t="shared" si="38"/>
        <v>0</v>
      </c>
      <c r="T69" s="117">
        <f t="shared" si="38"/>
        <v>0</v>
      </c>
      <c r="U69" s="117">
        <f t="shared" si="38"/>
        <v>0</v>
      </c>
      <c r="V69" s="117">
        <f t="shared" si="38"/>
        <v>0</v>
      </c>
      <c r="W69" s="117">
        <f t="shared" si="38"/>
        <v>0</v>
      </c>
      <c r="X69" s="112">
        <f t="shared" si="18"/>
        <v>0</v>
      </c>
      <c r="Y69" s="117">
        <f t="shared" si="19"/>
        <v>1.1318999999999999</v>
      </c>
      <c r="Z69" s="117">
        <f t="shared" si="20"/>
        <v>2.5716833333333322</v>
      </c>
      <c r="AA69" s="144">
        <f t="shared" si="31"/>
        <v>3.7035833333333321</v>
      </c>
      <c r="AC69" s="117">
        <f t="shared" si="34"/>
        <v>2.0670391061452515</v>
      </c>
      <c r="AD69" s="117">
        <f t="shared" si="34"/>
        <v>3.6592178770949721</v>
      </c>
      <c r="AE69" s="117">
        <f t="shared" si="32"/>
        <v>0</v>
      </c>
      <c r="AF69" s="117">
        <f t="shared" si="39"/>
        <v>2.9888268156424584</v>
      </c>
      <c r="AG69" s="117">
        <f t="shared" si="39"/>
        <v>1.4245810055865924</v>
      </c>
      <c r="AH69" s="117">
        <f t="shared" si="39"/>
        <v>0.83798882681564257</v>
      </c>
      <c r="AI69" s="117">
        <f t="shared" si="39"/>
        <v>1.8156424581005588</v>
      </c>
      <c r="AJ69" s="117">
        <f t="shared" si="39"/>
        <v>1.3128491620111733</v>
      </c>
      <c r="AK69" s="145">
        <f t="shared" si="21"/>
        <v>14.106145251396651</v>
      </c>
      <c r="AM69">
        <v>57</v>
      </c>
      <c r="AN69" s="150">
        <f t="shared" si="37"/>
        <v>0.2</v>
      </c>
      <c r="AO69">
        <v>57</v>
      </c>
      <c r="AP69" s="150">
        <v>0.2</v>
      </c>
      <c r="AR69" s="1"/>
    </row>
    <row r="70" spans="1:44" x14ac:dyDescent="0.25">
      <c r="A70" t="str">
        <f t="shared" si="9"/>
        <v>マンション</v>
      </c>
      <c r="B70" s="118">
        <f>住居!B63</f>
        <v>81</v>
      </c>
      <c r="C70" s="118">
        <f>住居!C63</f>
        <v>47</v>
      </c>
      <c r="D70" s="118">
        <f t="shared" si="10"/>
        <v>36.293049999999994</v>
      </c>
      <c r="E70" s="1">
        <f t="shared" si="11"/>
        <v>36.293049999999994</v>
      </c>
      <c r="F70" s="1">
        <f t="shared" si="12"/>
        <v>3.7035833333333321</v>
      </c>
      <c r="H70" s="112">
        <f t="shared" si="36"/>
        <v>18</v>
      </c>
      <c r="I70" s="112">
        <f t="shared" si="3"/>
        <v>14.399999999999999</v>
      </c>
      <c r="J70" s="112">
        <f t="shared" si="3"/>
        <v>0</v>
      </c>
      <c r="K70" s="86"/>
      <c r="L70" s="86"/>
      <c r="M70" s="112">
        <f t="shared" si="14"/>
        <v>0</v>
      </c>
      <c r="N70" s="117">
        <f t="shared" si="15"/>
        <v>2.6263999999999998</v>
      </c>
      <c r="O70" s="117">
        <f t="shared" si="16"/>
        <v>1.2666499999999996</v>
      </c>
      <c r="P70" s="112">
        <f t="shared" si="17"/>
        <v>36.293049999999994</v>
      </c>
      <c r="R70" s="117">
        <f t="shared" si="38"/>
        <v>0</v>
      </c>
      <c r="S70" s="117">
        <f t="shared" si="38"/>
        <v>0</v>
      </c>
      <c r="T70" s="117">
        <f t="shared" si="38"/>
        <v>0</v>
      </c>
      <c r="U70" s="117">
        <f t="shared" si="38"/>
        <v>0</v>
      </c>
      <c r="V70" s="117">
        <f t="shared" si="38"/>
        <v>0</v>
      </c>
      <c r="W70" s="117">
        <f t="shared" si="38"/>
        <v>0</v>
      </c>
      <c r="X70" s="112">
        <f t="shared" si="18"/>
        <v>0</v>
      </c>
      <c r="Y70" s="117">
        <f t="shared" si="19"/>
        <v>1.1318999999999999</v>
      </c>
      <c r="Z70" s="117">
        <f t="shared" si="20"/>
        <v>2.5716833333333322</v>
      </c>
      <c r="AA70" s="144">
        <f t="shared" si="31"/>
        <v>3.7035833333333321</v>
      </c>
      <c r="AC70" s="117">
        <f t="shared" si="34"/>
        <v>2.0670391061452515</v>
      </c>
      <c r="AD70" s="117">
        <f t="shared" si="34"/>
        <v>3.6592178770949721</v>
      </c>
      <c r="AE70" s="117">
        <f t="shared" si="32"/>
        <v>0</v>
      </c>
      <c r="AF70" s="117">
        <f t="shared" si="39"/>
        <v>2.9888268156424584</v>
      </c>
      <c r="AG70" s="117">
        <f t="shared" si="39"/>
        <v>1.4245810055865924</v>
      </c>
      <c r="AH70" s="117">
        <f t="shared" si="39"/>
        <v>0.83798882681564257</v>
      </c>
      <c r="AI70" s="117">
        <f t="shared" si="39"/>
        <v>1.8156424581005588</v>
      </c>
      <c r="AJ70" s="117">
        <f t="shared" si="39"/>
        <v>1.3128491620111733</v>
      </c>
      <c r="AK70" s="145">
        <f t="shared" si="21"/>
        <v>14.106145251396651</v>
      </c>
      <c r="AM70">
        <v>58</v>
      </c>
      <c r="AN70" s="150">
        <f t="shared" si="37"/>
        <v>0.2</v>
      </c>
      <c r="AO70">
        <v>58</v>
      </c>
      <c r="AP70" s="150">
        <v>0.2</v>
      </c>
      <c r="AR70" s="1"/>
    </row>
    <row r="71" spans="1:44" x14ac:dyDescent="0.25">
      <c r="A71" t="str">
        <f t="shared" si="9"/>
        <v>マンション</v>
      </c>
      <c r="B71" s="118">
        <f>住居!B64</f>
        <v>82</v>
      </c>
      <c r="C71" s="118">
        <f>住居!C64</f>
        <v>48</v>
      </c>
      <c r="D71" s="118">
        <f t="shared" si="10"/>
        <v>36.293049999999994</v>
      </c>
      <c r="E71" s="1">
        <f t="shared" si="11"/>
        <v>36.293049999999994</v>
      </c>
      <c r="F71" s="1">
        <f t="shared" si="12"/>
        <v>3.7035833333333321</v>
      </c>
      <c r="H71" s="112">
        <f t="shared" si="36"/>
        <v>18</v>
      </c>
      <c r="I71" s="112">
        <f t="shared" si="3"/>
        <v>14.399999999999999</v>
      </c>
      <c r="J71" s="112">
        <f t="shared" si="3"/>
        <v>0</v>
      </c>
      <c r="K71" s="86"/>
      <c r="L71" s="86"/>
      <c r="M71" s="112">
        <f t="shared" si="14"/>
        <v>0</v>
      </c>
      <c r="N71" s="117">
        <f t="shared" si="15"/>
        <v>2.6263999999999998</v>
      </c>
      <c r="O71" s="117">
        <f t="shared" si="16"/>
        <v>1.2666499999999996</v>
      </c>
      <c r="P71" s="112">
        <f t="shared" si="17"/>
        <v>36.293049999999994</v>
      </c>
      <c r="R71" s="117">
        <f t="shared" si="38"/>
        <v>0</v>
      </c>
      <c r="S71" s="117">
        <f t="shared" si="38"/>
        <v>0</v>
      </c>
      <c r="T71" s="117">
        <f t="shared" si="38"/>
        <v>0</v>
      </c>
      <c r="U71" s="117">
        <f t="shared" si="38"/>
        <v>0</v>
      </c>
      <c r="V71" s="117">
        <f t="shared" si="38"/>
        <v>0</v>
      </c>
      <c r="W71" s="117">
        <f t="shared" si="38"/>
        <v>0</v>
      </c>
      <c r="X71" s="112">
        <f t="shared" si="18"/>
        <v>0</v>
      </c>
      <c r="Y71" s="117">
        <f t="shared" si="19"/>
        <v>1.1318999999999999</v>
      </c>
      <c r="Z71" s="117">
        <f t="shared" si="20"/>
        <v>2.5716833333333322</v>
      </c>
      <c r="AA71" s="144">
        <f t="shared" si="31"/>
        <v>3.7035833333333321</v>
      </c>
      <c r="AC71" s="117">
        <f t="shared" si="34"/>
        <v>2.0670391061452515</v>
      </c>
      <c r="AD71" s="117">
        <f t="shared" si="34"/>
        <v>3.6592178770949721</v>
      </c>
      <c r="AE71" s="117">
        <f t="shared" si="32"/>
        <v>0</v>
      </c>
      <c r="AF71" s="117">
        <f t="shared" si="39"/>
        <v>2.9888268156424584</v>
      </c>
      <c r="AG71" s="117">
        <f t="shared" si="39"/>
        <v>1.4245810055865924</v>
      </c>
      <c r="AH71" s="117">
        <f t="shared" si="39"/>
        <v>0.83798882681564257</v>
      </c>
      <c r="AI71" s="117">
        <f t="shared" si="39"/>
        <v>1.8156424581005588</v>
      </c>
      <c r="AJ71" s="117">
        <f t="shared" si="39"/>
        <v>1.3128491620111733</v>
      </c>
      <c r="AK71" s="145">
        <f t="shared" si="21"/>
        <v>14.106145251396651</v>
      </c>
      <c r="AM71">
        <v>59</v>
      </c>
      <c r="AN71" s="150">
        <f t="shared" si="37"/>
        <v>0.2</v>
      </c>
      <c r="AO71">
        <v>59</v>
      </c>
      <c r="AP71" s="150">
        <v>0.2</v>
      </c>
      <c r="AR71" s="1"/>
    </row>
    <row r="72" spans="1:44" x14ac:dyDescent="0.25">
      <c r="A72" t="str">
        <f t="shared" si="9"/>
        <v>マンション</v>
      </c>
      <c r="B72" s="118">
        <f>住居!B65</f>
        <v>83</v>
      </c>
      <c r="C72" s="118">
        <f>住居!C65</f>
        <v>49</v>
      </c>
      <c r="D72" s="118">
        <f t="shared" si="10"/>
        <v>36.293049999999994</v>
      </c>
      <c r="E72" s="1">
        <f t="shared" si="11"/>
        <v>36.293049999999994</v>
      </c>
      <c r="F72" s="1">
        <f t="shared" si="12"/>
        <v>3.7035833333333321</v>
      </c>
      <c r="H72" s="112">
        <f t="shared" si="36"/>
        <v>18</v>
      </c>
      <c r="I72" s="112">
        <f t="shared" si="3"/>
        <v>14.399999999999999</v>
      </c>
      <c r="J72" s="112">
        <f t="shared" si="3"/>
        <v>0</v>
      </c>
      <c r="K72" s="86"/>
      <c r="L72" s="86"/>
      <c r="M72" s="112">
        <f t="shared" si="14"/>
        <v>0</v>
      </c>
      <c r="N72" s="117">
        <f t="shared" si="15"/>
        <v>2.6263999999999998</v>
      </c>
      <c r="O72" s="117">
        <f t="shared" si="16"/>
        <v>1.2666499999999996</v>
      </c>
      <c r="P72" s="112">
        <f t="shared" si="17"/>
        <v>36.293049999999994</v>
      </c>
      <c r="R72" s="117">
        <f t="shared" si="38"/>
        <v>0</v>
      </c>
      <c r="S72" s="117">
        <f t="shared" si="38"/>
        <v>0</v>
      </c>
      <c r="T72" s="117">
        <f t="shared" si="38"/>
        <v>0</v>
      </c>
      <c r="U72" s="117">
        <f t="shared" si="38"/>
        <v>0</v>
      </c>
      <c r="V72" s="117">
        <f t="shared" si="38"/>
        <v>0</v>
      </c>
      <c r="W72" s="117">
        <f t="shared" si="38"/>
        <v>0</v>
      </c>
      <c r="X72" s="112">
        <f t="shared" si="18"/>
        <v>0</v>
      </c>
      <c r="Y72" s="117">
        <f t="shared" si="19"/>
        <v>1.1318999999999999</v>
      </c>
      <c r="Z72" s="117">
        <f t="shared" si="20"/>
        <v>2.5716833333333322</v>
      </c>
      <c r="AA72" s="144">
        <f t="shared" si="31"/>
        <v>3.7035833333333321</v>
      </c>
      <c r="AC72" s="117">
        <f t="shared" si="34"/>
        <v>2.0670391061452515</v>
      </c>
      <c r="AD72" s="117">
        <f t="shared" si="34"/>
        <v>3.6592178770949721</v>
      </c>
      <c r="AE72" s="117">
        <f t="shared" si="32"/>
        <v>0</v>
      </c>
      <c r="AF72" s="117">
        <f t="shared" si="39"/>
        <v>2.9888268156424584</v>
      </c>
      <c r="AG72" s="117">
        <f t="shared" si="39"/>
        <v>1.4245810055865924</v>
      </c>
      <c r="AH72" s="117">
        <f t="shared" si="39"/>
        <v>0.83798882681564257</v>
      </c>
      <c r="AI72" s="117">
        <f t="shared" si="39"/>
        <v>1.8156424581005588</v>
      </c>
      <c r="AJ72" s="117">
        <f t="shared" si="39"/>
        <v>1.3128491620111733</v>
      </c>
      <c r="AK72" s="145">
        <f t="shared" si="21"/>
        <v>14.106145251396651</v>
      </c>
      <c r="AM72">
        <v>60</v>
      </c>
      <c r="AN72" s="150">
        <f t="shared" si="37"/>
        <v>0.2</v>
      </c>
      <c r="AO72">
        <v>60</v>
      </c>
      <c r="AP72" s="150">
        <v>0.2</v>
      </c>
      <c r="AR72" s="1"/>
    </row>
    <row r="73" spans="1:44" x14ac:dyDescent="0.25">
      <c r="A73" t="str">
        <f t="shared" si="9"/>
        <v>マンション</v>
      </c>
      <c r="B73" s="118">
        <f>住居!B66</f>
        <v>84</v>
      </c>
      <c r="C73" s="118">
        <f>住居!C66</f>
        <v>50</v>
      </c>
      <c r="D73" s="118">
        <f t="shared" si="10"/>
        <v>36.293049999999994</v>
      </c>
      <c r="E73" s="1">
        <f t="shared" si="11"/>
        <v>36.293049999999994</v>
      </c>
      <c r="F73" s="1">
        <f t="shared" si="12"/>
        <v>95.132154761904758</v>
      </c>
      <c r="H73" s="112">
        <f t="shared" si="36"/>
        <v>18</v>
      </c>
      <c r="I73" s="112">
        <f t="shared" si="3"/>
        <v>14.399999999999999</v>
      </c>
      <c r="J73" s="112">
        <f t="shared" si="3"/>
        <v>0</v>
      </c>
      <c r="K73" s="86"/>
      <c r="L73" s="86"/>
      <c r="M73" s="112">
        <f t="shared" si="14"/>
        <v>0</v>
      </c>
      <c r="N73" s="117">
        <f t="shared" si="15"/>
        <v>2.6263999999999998</v>
      </c>
      <c r="O73" s="117">
        <f t="shared" si="16"/>
        <v>1.2666499999999996</v>
      </c>
      <c r="P73" s="112">
        <f t="shared" si="17"/>
        <v>36.293049999999994</v>
      </c>
      <c r="R73" s="117">
        <f t="shared" si="38"/>
        <v>40</v>
      </c>
      <c r="S73" s="117">
        <f t="shared" si="38"/>
        <v>14.285714285714286</v>
      </c>
      <c r="T73" s="117">
        <f t="shared" si="38"/>
        <v>8.5714285714285712</v>
      </c>
      <c r="U73" s="117">
        <f t="shared" si="38"/>
        <v>20</v>
      </c>
      <c r="V73" s="117">
        <f t="shared" si="38"/>
        <v>0</v>
      </c>
      <c r="W73" s="117">
        <f t="shared" si="38"/>
        <v>8.5714285714285712</v>
      </c>
      <c r="X73" s="112">
        <f t="shared" si="18"/>
        <v>0</v>
      </c>
      <c r="Y73" s="117">
        <f t="shared" si="19"/>
        <v>1.1318999999999999</v>
      </c>
      <c r="Z73" s="117">
        <f t="shared" si="20"/>
        <v>2.5716833333333322</v>
      </c>
      <c r="AA73" s="144">
        <f t="shared" si="31"/>
        <v>95.132154761904758</v>
      </c>
      <c r="AC73" s="117">
        <f t="shared" si="34"/>
        <v>2.0670391061452515</v>
      </c>
      <c r="AD73" s="117">
        <f t="shared" si="34"/>
        <v>3.6592178770949721</v>
      </c>
      <c r="AE73" s="117">
        <f t="shared" si="32"/>
        <v>0</v>
      </c>
      <c r="AF73" s="117">
        <f t="shared" si="39"/>
        <v>2.9888268156424584</v>
      </c>
      <c r="AG73" s="117">
        <f t="shared" si="39"/>
        <v>1.4245810055865924</v>
      </c>
      <c r="AH73" s="117">
        <f t="shared" si="39"/>
        <v>0.83798882681564257</v>
      </c>
      <c r="AI73" s="117">
        <f t="shared" si="39"/>
        <v>1.8156424581005588</v>
      </c>
      <c r="AJ73" s="117">
        <f t="shared" si="39"/>
        <v>1.3128491620111733</v>
      </c>
      <c r="AK73" s="145">
        <f t="shared" si="21"/>
        <v>14.106145251396651</v>
      </c>
      <c r="AM73">
        <v>61</v>
      </c>
      <c r="AN73" s="150">
        <f t="shared" si="37"/>
        <v>0.2</v>
      </c>
      <c r="AO73">
        <v>61</v>
      </c>
      <c r="AP73" s="150">
        <v>0.2</v>
      </c>
      <c r="AR73" s="1"/>
    </row>
    <row r="74" spans="1:44" x14ac:dyDescent="0.25">
      <c r="A74" t="str">
        <f t="shared" si="9"/>
        <v>マンション</v>
      </c>
      <c r="B74" s="118">
        <f>住居!B67</f>
        <v>85</v>
      </c>
      <c r="C74" s="118">
        <f>住居!C67</f>
        <v>51</v>
      </c>
      <c r="D74" s="118">
        <f t="shared" si="10"/>
        <v>36.293049999999994</v>
      </c>
      <c r="E74" s="1">
        <f t="shared" si="11"/>
        <v>36.293049999999994</v>
      </c>
      <c r="F74" s="1">
        <f t="shared" si="12"/>
        <v>3.7035833333333321</v>
      </c>
      <c r="H74" s="112">
        <f t="shared" si="36"/>
        <v>18</v>
      </c>
      <c r="I74" s="112">
        <f t="shared" si="3"/>
        <v>14.399999999999999</v>
      </c>
      <c r="J74" s="112">
        <f t="shared" si="3"/>
        <v>0</v>
      </c>
      <c r="K74" s="86"/>
      <c r="L74" s="86"/>
      <c r="M74" s="112">
        <f t="shared" si="14"/>
        <v>0</v>
      </c>
      <c r="N74" s="117">
        <f t="shared" si="15"/>
        <v>2.6263999999999998</v>
      </c>
      <c r="O74" s="117">
        <f t="shared" si="16"/>
        <v>1.2666499999999996</v>
      </c>
      <c r="P74" s="112">
        <f t="shared" si="17"/>
        <v>36.293049999999994</v>
      </c>
      <c r="R74" s="117">
        <f t="shared" si="38"/>
        <v>0</v>
      </c>
      <c r="S74" s="117">
        <f t="shared" si="38"/>
        <v>0</v>
      </c>
      <c r="T74" s="117">
        <f t="shared" si="38"/>
        <v>0</v>
      </c>
      <c r="U74" s="117">
        <f t="shared" si="38"/>
        <v>0</v>
      </c>
      <c r="V74" s="117">
        <f t="shared" si="38"/>
        <v>0</v>
      </c>
      <c r="W74" s="117">
        <f t="shared" si="38"/>
        <v>0</v>
      </c>
      <c r="X74" s="112">
        <f t="shared" si="18"/>
        <v>0</v>
      </c>
      <c r="Y74" s="117">
        <f t="shared" si="19"/>
        <v>1.1318999999999999</v>
      </c>
      <c r="Z74" s="117">
        <f t="shared" si="20"/>
        <v>2.5716833333333322</v>
      </c>
      <c r="AA74" s="144">
        <f t="shared" si="31"/>
        <v>3.7035833333333321</v>
      </c>
      <c r="AC74" s="117">
        <f t="shared" si="34"/>
        <v>2.0670391061452515</v>
      </c>
      <c r="AD74" s="117">
        <f t="shared" si="34"/>
        <v>3.6592178770949721</v>
      </c>
      <c r="AE74" s="117">
        <f t="shared" si="32"/>
        <v>0</v>
      </c>
      <c r="AF74" s="117">
        <f t="shared" si="39"/>
        <v>2.9888268156424584</v>
      </c>
      <c r="AG74" s="117">
        <f t="shared" si="39"/>
        <v>1.4245810055865924</v>
      </c>
      <c r="AH74" s="117">
        <f t="shared" si="39"/>
        <v>0.83798882681564257</v>
      </c>
      <c r="AI74" s="117">
        <f t="shared" si="39"/>
        <v>1.8156424581005588</v>
      </c>
      <c r="AJ74" s="117">
        <f t="shared" si="39"/>
        <v>1.3128491620111733</v>
      </c>
      <c r="AK74" s="145">
        <f t="shared" si="21"/>
        <v>14.106145251396651</v>
      </c>
      <c r="AM74">
        <v>62</v>
      </c>
      <c r="AN74" s="150">
        <f t="shared" si="37"/>
        <v>0.2</v>
      </c>
      <c r="AO74">
        <v>62</v>
      </c>
      <c r="AP74" s="150">
        <v>0.2</v>
      </c>
      <c r="AR74" s="1"/>
    </row>
    <row r="75" spans="1:44" x14ac:dyDescent="0.25">
      <c r="A75" t="str">
        <f t="shared" si="9"/>
        <v>マンション</v>
      </c>
      <c r="B75" s="118">
        <f>住居!B68</f>
        <v>86</v>
      </c>
      <c r="C75" s="118">
        <f>住居!C68</f>
        <v>52</v>
      </c>
      <c r="D75" s="118">
        <f t="shared" si="10"/>
        <v>36.293049999999994</v>
      </c>
      <c r="E75" s="1">
        <f t="shared" si="11"/>
        <v>36.293049999999994</v>
      </c>
      <c r="F75" s="1">
        <f t="shared" si="12"/>
        <v>3.7035833333333321</v>
      </c>
      <c r="H75" s="112">
        <f t="shared" si="36"/>
        <v>18</v>
      </c>
      <c r="I75" s="112">
        <f t="shared" si="3"/>
        <v>14.399999999999999</v>
      </c>
      <c r="J75" s="112">
        <f t="shared" si="3"/>
        <v>0</v>
      </c>
      <c r="K75" s="86"/>
      <c r="L75" s="86"/>
      <c r="M75" s="112">
        <f t="shared" si="14"/>
        <v>0</v>
      </c>
      <c r="N75" s="117">
        <f t="shared" si="15"/>
        <v>2.6263999999999998</v>
      </c>
      <c r="O75" s="117">
        <f t="shared" si="16"/>
        <v>1.2666499999999996</v>
      </c>
      <c r="P75" s="112">
        <f t="shared" si="17"/>
        <v>36.293049999999994</v>
      </c>
      <c r="R75" s="117">
        <f t="shared" si="38"/>
        <v>0</v>
      </c>
      <c r="S75" s="117">
        <f t="shared" si="38"/>
        <v>0</v>
      </c>
      <c r="T75" s="117">
        <f t="shared" si="38"/>
        <v>0</v>
      </c>
      <c r="U75" s="117">
        <f t="shared" si="38"/>
        <v>0</v>
      </c>
      <c r="V75" s="117">
        <f t="shared" si="38"/>
        <v>0</v>
      </c>
      <c r="W75" s="117">
        <f t="shared" si="38"/>
        <v>0</v>
      </c>
      <c r="X75" s="112">
        <f t="shared" si="18"/>
        <v>0</v>
      </c>
      <c r="Y75" s="117">
        <f t="shared" si="19"/>
        <v>1.1318999999999999</v>
      </c>
      <c r="Z75" s="117">
        <f t="shared" si="20"/>
        <v>2.5716833333333322</v>
      </c>
      <c r="AA75" s="144">
        <f t="shared" si="31"/>
        <v>3.7035833333333321</v>
      </c>
      <c r="AC75" s="117">
        <f t="shared" si="34"/>
        <v>2.0670391061452515</v>
      </c>
      <c r="AD75" s="117">
        <f t="shared" si="34"/>
        <v>3.6592178770949721</v>
      </c>
      <c r="AE75" s="117">
        <f t="shared" si="32"/>
        <v>0</v>
      </c>
      <c r="AF75" s="117">
        <f t="shared" si="39"/>
        <v>2.9888268156424584</v>
      </c>
      <c r="AG75" s="117">
        <f t="shared" si="39"/>
        <v>1.4245810055865924</v>
      </c>
      <c r="AH75" s="117">
        <f t="shared" si="39"/>
        <v>0.83798882681564257</v>
      </c>
      <c r="AI75" s="117">
        <f t="shared" si="39"/>
        <v>1.8156424581005588</v>
      </c>
      <c r="AJ75" s="117">
        <f t="shared" si="39"/>
        <v>1.3128491620111733</v>
      </c>
      <c r="AK75" s="145">
        <f t="shared" si="21"/>
        <v>14.106145251396651</v>
      </c>
      <c r="AM75">
        <v>63</v>
      </c>
      <c r="AN75" s="150">
        <f t="shared" si="37"/>
        <v>0.2</v>
      </c>
      <c r="AO75">
        <v>63</v>
      </c>
      <c r="AP75" s="150">
        <v>0.2</v>
      </c>
      <c r="AR75" s="1"/>
    </row>
    <row r="76" spans="1:44" x14ac:dyDescent="0.25">
      <c r="A76" t="str">
        <f t="shared" si="9"/>
        <v>マンション</v>
      </c>
      <c r="B76" s="118">
        <f>住居!B69</f>
        <v>87</v>
      </c>
      <c r="C76" s="118">
        <f>住居!C69</f>
        <v>53</v>
      </c>
      <c r="D76" s="118">
        <f t="shared" si="10"/>
        <v>36.293049999999994</v>
      </c>
      <c r="E76" s="1">
        <f t="shared" si="11"/>
        <v>36.293049999999994</v>
      </c>
      <c r="F76" s="1">
        <f t="shared" si="12"/>
        <v>3.7035833333333321</v>
      </c>
      <c r="H76" s="112">
        <f t="shared" si="36"/>
        <v>18</v>
      </c>
      <c r="I76" s="112">
        <f t="shared" si="3"/>
        <v>14.399999999999999</v>
      </c>
      <c r="J76" s="112">
        <f t="shared" si="3"/>
        <v>0</v>
      </c>
      <c r="K76" s="86"/>
      <c r="L76" s="86"/>
      <c r="M76" s="112">
        <f t="shared" si="14"/>
        <v>0</v>
      </c>
      <c r="N76" s="117">
        <f t="shared" si="15"/>
        <v>2.6263999999999998</v>
      </c>
      <c r="O76" s="117">
        <f t="shared" si="16"/>
        <v>1.2666499999999996</v>
      </c>
      <c r="P76" s="112">
        <f t="shared" si="17"/>
        <v>36.293049999999994</v>
      </c>
      <c r="R76" s="117">
        <f t="shared" si="38"/>
        <v>0</v>
      </c>
      <c r="S76" s="117">
        <f t="shared" si="38"/>
        <v>0</v>
      </c>
      <c r="T76" s="117">
        <f t="shared" si="38"/>
        <v>0</v>
      </c>
      <c r="U76" s="117">
        <f t="shared" si="38"/>
        <v>0</v>
      </c>
      <c r="V76" s="117">
        <f t="shared" si="38"/>
        <v>0</v>
      </c>
      <c r="W76" s="117">
        <f t="shared" si="38"/>
        <v>0</v>
      </c>
      <c r="X76" s="112">
        <f t="shared" si="18"/>
        <v>0</v>
      </c>
      <c r="Y76" s="117">
        <f t="shared" si="19"/>
        <v>1.1318999999999999</v>
      </c>
      <c r="Z76" s="117">
        <f t="shared" si="20"/>
        <v>2.5716833333333322</v>
      </c>
      <c r="AA76" s="144">
        <f t="shared" si="31"/>
        <v>3.7035833333333321</v>
      </c>
      <c r="AC76" s="117">
        <f t="shared" si="34"/>
        <v>2.0670391061452515</v>
      </c>
      <c r="AD76" s="117">
        <f t="shared" si="34"/>
        <v>3.6592178770949721</v>
      </c>
      <c r="AE76" s="117">
        <f t="shared" si="32"/>
        <v>0</v>
      </c>
      <c r="AF76" s="117">
        <f t="shared" si="39"/>
        <v>2.9888268156424584</v>
      </c>
      <c r="AG76" s="117">
        <f t="shared" si="39"/>
        <v>1.4245810055865924</v>
      </c>
      <c r="AH76" s="117">
        <f t="shared" si="39"/>
        <v>0.83798882681564257</v>
      </c>
      <c r="AI76" s="117">
        <f t="shared" si="39"/>
        <v>1.8156424581005588</v>
      </c>
      <c r="AJ76" s="117">
        <f t="shared" si="39"/>
        <v>1.3128491620111733</v>
      </c>
      <c r="AK76" s="145">
        <f t="shared" si="21"/>
        <v>14.106145251396651</v>
      </c>
      <c r="AM76">
        <v>64</v>
      </c>
      <c r="AN76" s="150">
        <f t="shared" si="37"/>
        <v>0.2</v>
      </c>
      <c r="AO76">
        <v>64</v>
      </c>
      <c r="AP76" s="150">
        <v>0.2</v>
      </c>
      <c r="AR76" s="1"/>
    </row>
    <row r="77" spans="1:44" x14ac:dyDescent="0.25">
      <c r="A77" t="str">
        <f t="shared" si="9"/>
        <v>マンション</v>
      </c>
      <c r="B77" s="118">
        <f>住居!B70</f>
        <v>88</v>
      </c>
      <c r="C77" s="118">
        <f>住居!C70</f>
        <v>54</v>
      </c>
      <c r="D77" s="118">
        <f t="shared" si="10"/>
        <v>36.293049999999994</v>
      </c>
      <c r="E77" s="1">
        <f t="shared" si="11"/>
        <v>36.293049999999994</v>
      </c>
      <c r="F77" s="1">
        <f t="shared" si="12"/>
        <v>3.7035833333333321</v>
      </c>
      <c r="H77" s="112">
        <f t="shared" si="36"/>
        <v>18</v>
      </c>
      <c r="I77" s="112">
        <f t="shared" si="36"/>
        <v>14.399999999999999</v>
      </c>
      <c r="J77" s="112">
        <f t="shared" si="36"/>
        <v>0</v>
      </c>
      <c r="K77" s="86"/>
      <c r="L77" s="86"/>
      <c r="M77" s="112">
        <f t="shared" si="14"/>
        <v>0</v>
      </c>
      <c r="N77" s="117">
        <f t="shared" si="15"/>
        <v>2.6263999999999998</v>
      </c>
      <c r="O77" s="117">
        <f t="shared" si="16"/>
        <v>1.2666499999999996</v>
      </c>
      <c r="P77" s="112">
        <f t="shared" si="17"/>
        <v>36.293049999999994</v>
      </c>
      <c r="R77" s="117">
        <f t="shared" si="38"/>
        <v>0</v>
      </c>
      <c r="S77" s="117">
        <f t="shared" si="38"/>
        <v>0</v>
      </c>
      <c r="T77" s="117">
        <f t="shared" si="38"/>
        <v>0</v>
      </c>
      <c r="U77" s="117">
        <f t="shared" si="38"/>
        <v>0</v>
      </c>
      <c r="V77" s="117">
        <f t="shared" si="38"/>
        <v>0</v>
      </c>
      <c r="W77" s="117">
        <f t="shared" si="38"/>
        <v>0</v>
      </c>
      <c r="X77" s="112">
        <f t="shared" si="18"/>
        <v>0</v>
      </c>
      <c r="Y77" s="117">
        <f t="shared" si="19"/>
        <v>1.1318999999999999</v>
      </c>
      <c r="Z77" s="117">
        <f t="shared" si="20"/>
        <v>2.5716833333333322</v>
      </c>
      <c r="AA77" s="144">
        <f t="shared" ref="AA77" si="40">SUM(R77:Z77)</f>
        <v>3.7035833333333321</v>
      </c>
      <c r="AC77" s="117">
        <f t="shared" si="34"/>
        <v>2.0670391061452515</v>
      </c>
      <c r="AD77" s="117">
        <f t="shared" si="34"/>
        <v>3.6592178770949721</v>
      </c>
      <c r="AE77" s="117">
        <f t="shared" si="32"/>
        <v>0</v>
      </c>
      <c r="AF77" s="117">
        <f t="shared" si="39"/>
        <v>2.9888268156424584</v>
      </c>
      <c r="AG77" s="117">
        <f t="shared" si="39"/>
        <v>1.4245810055865924</v>
      </c>
      <c r="AH77" s="117">
        <f t="shared" si="39"/>
        <v>0.83798882681564257</v>
      </c>
      <c r="AI77" s="117">
        <f t="shared" si="39"/>
        <v>1.8156424581005588</v>
      </c>
      <c r="AJ77" s="117">
        <f t="shared" si="39"/>
        <v>1.3128491620111733</v>
      </c>
      <c r="AK77" s="145">
        <f t="shared" si="21"/>
        <v>14.106145251396651</v>
      </c>
      <c r="AM77">
        <v>65</v>
      </c>
      <c r="AN77" s="150">
        <f t="shared" si="37"/>
        <v>0.2</v>
      </c>
      <c r="AO77">
        <v>65</v>
      </c>
      <c r="AP77" s="150">
        <v>0.2</v>
      </c>
      <c r="AR77" s="1"/>
    </row>
    <row r="78" spans="1:44" x14ac:dyDescent="0.25">
      <c r="AM78">
        <v>66</v>
      </c>
      <c r="AN78" s="150">
        <f t="shared" si="37"/>
        <v>0.2</v>
      </c>
      <c r="AO78">
        <v>66</v>
      </c>
      <c r="AP78" s="150">
        <v>0.2</v>
      </c>
    </row>
    <row r="79" spans="1:44" x14ac:dyDescent="0.25">
      <c r="AM79">
        <v>67</v>
      </c>
      <c r="AN79" s="150">
        <f t="shared" si="37"/>
        <v>0.2</v>
      </c>
      <c r="AO79">
        <v>67</v>
      </c>
      <c r="AP79" s="150">
        <v>0.2</v>
      </c>
    </row>
    <row r="80" spans="1:44" x14ac:dyDescent="0.25">
      <c r="AM80">
        <v>68</v>
      </c>
      <c r="AN80" s="150">
        <f t="shared" si="37"/>
        <v>0.2</v>
      </c>
      <c r="AO80">
        <v>68</v>
      </c>
      <c r="AP80" s="150">
        <v>0.2</v>
      </c>
    </row>
    <row r="81" spans="8:42" x14ac:dyDescent="0.25">
      <c r="AM81">
        <v>69</v>
      </c>
      <c r="AN81" s="150">
        <f t="shared" si="37"/>
        <v>0.2</v>
      </c>
      <c r="AO81">
        <v>69</v>
      </c>
      <c r="AP81" s="150">
        <v>0.2</v>
      </c>
    </row>
    <row r="82" spans="8:42" x14ac:dyDescent="0.25">
      <c r="AM82">
        <v>70</v>
      </c>
      <c r="AN82" s="150">
        <f t="shared" si="37"/>
        <v>0.2</v>
      </c>
      <c r="AO82">
        <v>70</v>
      </c>
      <c r="AP82" s="150">
        <v>0.2</v>
      </c>
    </row>
    <row r="83" spans="8:42" x14ac:dyDescent="0.25">
      <c r="AM83">
        <v>71</v>
      </c>
      <c r="AN83" s="150">
        <f t="shared" si="37"/>
        <v>0.2</v>
      </c>
      <c r="AO83">
        <v>71</v>
      </c>
      <c r="AP83" s="150">
        <v>0.2</v>
      </c>
    </row>
    <row r="84" spans="8:42" x14ac:dyDescent="0.25">
      <c r="AM84">
        <v>72</v>
      </c>
      <c r="AN84" s="150">
        <f t="shared" si="37"/>
        <v>0.2</v>
      </c>
      <c r="AO84">
        <v>72</v>
      </c>
      <c r="AP84" s="150">
        <v>0.2</v>
      </c>
    </row>
    <row r="85" spans="8:42" x14ac:dyDescent="0.25">
      <c r="AM85">
        <v>73</v>
      </c>
      <c r="AN85" s="150">
        <f t="shared" si="37"/>
        <v>0.2</v>
      </c>
      <c r="AO85">
        <v>73</v>
      </c>
      <c r="AP85" s="150">
        <v>0.2</v>
      </c>
    </row>
    <row r="86" spans="8:42" x14ac:dyDescent="0.25">
      <c r="AM86">
        <v>74</v>
      </c>
      <c r="AN86" s="150">
        <f t="shared" si="37"/>
        <v>0.2</v>
      </c>
      <c r="AO86">
        <v>74</v>
      </c>
      <c r="AP86" s="150">
        <v>0.2</v>
      </c>
    </row>
    <row r="87" spans="8:42" x14ac:dyDescent="0.25">
      <c r="H87" s="140">
        <f t="shared" ref="H87:N87" si="41">SUM(H13:H86)</f>
        <v>990</v>
      </c>
      <c r="I87" s="140">
        <f t="shared" si="41"/>
        <v>791.9999999999992</v>
      </c>
      <c r="J87" s="140">
        <f t="shared" si="41"/>
        <v>0</v>
      </c>
      <c r="K87" s="140">
        <f t="shared" si="41"/>
        <v>0</v>
      </c>
      <c r="L87" s="140">
        <f t="shared" si="41"/>
        <v>0</v>
      </c>
      <c r="M87" s="140">
        <f t="shared" si="41"/>
        <v>-284.79200354561823</v>
      </c>
      <c r="N87" s="140">
        <f t="shared" si="41"/>
        <v>278.63083639999985</v>
      </c>
      <c r="O87" s="140"/>
      <c r="P87" s="1">
        <f>SUM(P13:P86)</f>
        <v>1845.5045828543816</v>
      </c>
      <c r="R87" s="140">
        <f t="shared" ref="R87:W87" si="42">SUM(R13:R86)</f>
        <v>400</v>
      </c>
      <c r="S87" s="140">
        <f t="shared" si="42"/>
        <v>142.85714285714286</v>
      </c>
      <c r="T87" s="140">
        <f t="shared" si="42"/>
        <v>85.714285714285708</v>
      </c>
      <c r="U87" s="140">
        <f t="shared" si="42"/>
        <v>200</v>
      </c>
      <c r="V87" s="140">
        <f t="shared" si="42"/>
        <v>0</v>
      </c>
      <c r="W87" s="140">
        <f t="shared" si="42"/>
        <v>85.714285714285708</v>
      </c>
      <c r="X87" s="140">
        <f t="shared" ref="X87" si="43">SUM(X13:X86)</f>
        <v>-284.79200354561823</v>
      </c>
      <c r="Y87" s="140">
        <f t="shared" ref="Y87" si="44">SUM(Y13:Y86)</f>
        <v>85.967805000000055</v>
      </c>
      <c r="Z87" s="140"/>
      <c r="AA87" s="140">
        <f>SUM(AA13:AA86)</f>
        <v>856.90409907342894</v>
      </c>
      <c r="AC87" s="140">
        <f t="shared" ref="AC87:AK87" si="45">SUM(AC13:AC86)</f>
        <v>113.68715083798868</v>
      </c>
      <c r="AD87" s="140">
        <f t="shared" si="45"/>
        <v>201.25698324022326</v>
      </c>
      <c r="AE87" s="140">
        <f t="shared" si="45"/>
        <v>0</v>
      </c>
      <c r="AF87" s="140">
        <f t="shared" si="45"/>
        <v>164.38547486033511</v>
      </c>
      <c r="AG87" s="140">
        <f t="shared" si="45"/>
        <v>78.351955307262472</v>
      </c>
      <c r="AH87" s="140">
        <f t="shared" si="45"/>
        <v>46.089385474860293</v>
      </c>
      <c r="AI87" s="140">
        <f t="shared" si="45"/>
        <v>99.86033519553061</v>
      </c>
      <c r="AJ87" s="140">
        <f t="shared" si="45"/>
        <v>72.206703910614593</v>
      </c>
      <c r="AK87" s="140">
        <f t="shared" si="45"/>
        <v>775.8379888268164</v>
      </c>
      <c r="AM87">
        <v>75</v>
      </c>
      <c r="AN87" s="150">
        <f t="shared" si="37"/>
        <v>0.2</v>
      </c>
      <c r="AO87">
        <v>75</v>
      </c>
      <c r="AP87" s="150">
        <v>0.2</v>
      </c>
    </row>
    <row r="88" spans="8:42" x14ac:dyDescent="0.25">
      <c r="AM88">
        <v>76</v>
      </c>
      <c r="AN88" s="150">
        <f t="shared" si="37"/>
        <v>0.2</v>
      </c>
      <c r="AO88">
        <v>76</v>
      </c>
      <c r="AP88" s="150">
        <v>0.2</v>
      </c>
    </row>
    <row r="89" spans="8:42" x14ac:dyDescent="0.25">
      <c r="AM89">
        <v>77</v>
      </c>
      <c r="AN89" s="150">
        <f t="shared" si="37"/>
        <v>0.2</v>
      </c>
      <c r="AO89">
        <v>77</v>
      </c>
      <c r="AP89" s="150">
        <v>0.2</v>
      </c>
    </row>
    <row r="90" spans="8:42" x14ac:dyDescent="0.25">
      <c r="AM90">
        <v>78</v>
      </c>
      <c r="AN90" s="150">
        <f t="shared" si="37"/>
        <v>0.2</v>
      </c>
      <c r="AO90">
        <v>78</v>
      </c>
      <c r="AP90" s="150">
        <v>0.2</v>
      </c>
    </row>
    <row r="91" spans="8:42" x14ac:dyDescent="0.25">
      <c r="AM91">
        <v>79</v>
      </c>
      <c r="AN91" s="150">
        <f t="shared" si="37"/>
        <v>0.2</v>
      </c>
      <c r="AO91">
        <v>79</v>
      </c>
      <c r="AP91" s="150">
        <v>0.2</v>
      </c>
    </row>
    <row r="92" spans="8:42" x14ac:dyDescent="0.25">
      <c r="AM92">
        <v>80</v>
      </c>
      <c r="AN92" s="150">
        <f t="shared" si="37"/>
        <v>0.2</v>
      </c>
      <c r="AO92">
        <v>80</v>
      </c>
      <c r="AP92" s="150">
        <v>0.2</v>
      </c>
    </row>
    <row r="93" spans="8:42" x14ac:dyDescent="0.25">
      <c r="AM93">
        <v>81</v>
      </c>
      <c r="AN93" s="150">
        <f t="shared" si="37"/>
        <v>0.2</v>
      </c>
      <c r="AO93">
        <v>81</v>
      </c>
      <c r="AP93" s="150">
        <v>0.2</v>
      </c>
    </row>
    <row r="94" spans="8:42" x14ac:dyDescent="0.25">
      <c r="AM94">
        <v>82</v>
      </c>
      <c r="AN94" s="150">
        <f t="shared" si="37"/>
        <v>0.2</v>
      </c>
      <c r="AO94">
        <v>82</v>
      </c>
      <c r="AP94" s="150">
        <v>0.2</v>
      </c>
    </row>
    <row r="95" spans="8:42" x14ac:dyDescent="0.25">
      <c r="AM95">
        <v>83</v>
      </c>
      <c r="AN95" s="150">
        <f t="shared" si="37"/>
        <v>0.2</v>
      </c>
      <c r="AO95">
        <v>83</v>
      </c>
      <c r="AP95" s="150">
        <v>0.2</v>
      </c>
    </row>
    <row r="96" spans="8:42" x14ac:dyDescent="0.25">
      <c r="AM96">
        <v>84</v>
      </c>
      <c r="AN96" s="150">
        <f t="shared" si="37"/>
        <v>0.2</v>
      </c>
      <c r="AO96">
        <v>84</v>
      </c>
      <c r="AP96" s="150">
        <v>0.2</v>
      </c>
    </row>
    <row r="97" spans="39:42" x14ac:dyDescent="0.25">
      <c r="AM97">
        <v>85</v>
      </c>
      <c r="AN97" s="150">
        <f t="shared" si="37"/>
        <v>0.2</v>
      </c>
      <c r="AO97">
        <v>85</v>
      </c>
      <c r="AP97" s="150">
        <v>0.2</v>
      </c>
    </row>
    <row r="98" spans="39:42" x14ac:dyDescent="0.25">
      <c r="AM98">
        <v>86</v>
      </c>
      <c r="AN98" s="150">
        <f t="shared" si="37"/>
        <v>0.2</v>
      </c>
      <c r="AO98">
        <v>86</v>
      </c>
      <c r="AP98" s="150">
        <v>0.2</v>
      </c>
    </row>
    <row r="99" spans="39:42" x14ac:dyDescent="0.25">
      <c r="AM99">
        <v>87</v>
      </c>
      <c r="AN99" s="150">
        <f t="shared" si="37"/>
        <v>0.2</v>
      </c>
      <c r="AO99">
        <v>87</v>
      </c>
      <c r="AP99" s="150">
        <v>0.2</v>
      </c>
    </row>
    <row r="100" spans="39:42" x14ac:dyDescent="0.25">
      <c r="AM100">
        <v>88</v>
      </c>
      <c r="AN100" s="150">
        <f t="shared" si="37"/>
        <v>0.2</v>
      </c>
      <c r="AO100">
        <v>88</v>
      </c>
      <c r="AP100" s="150">
        <v>0.2</v>
      </c>
    </row>
    <row r="101" spans="39:42" x14ac:dyDescent="0.25">
      <c r="AM101">
        <v>89</v>
      </c>
      <c r="AN101" s="150">
        <f t="shared" si="37"/>
        <v>0.2</v>
      </c>
      <c r="AO101">
        <v>89</v>
      </c>
      <c r="AP101" s="150">
        <v>0.2</v>
      </c>
    </row>
    <row r="102" spans="39:42" x14ac:dyDescent="0.25">
      <c r="AM102">
        <v>90</v>
      </c>
      <c r="AN102" s="150">
        <f t="shared" si="37"/>
        <v>0.2</v>
      </c>
      <c r="AO102">
        <v>90</v>
      </c>
      <c r="AP102" s="150">
        <v>0.2</v>
      </c>
    </row>
    <row r="103" spans="39:42" x14ac:dyDescent="0.25">
      <c r="AM103">
        <v>91</v>
      </c>
      <c r="AN103" s="150">
        <f t="shared" si="37"/>
        <v>0.2</v>
      </c>
      <c r="AO103">
        <v>91</v>
      </c>
      <c r="AP103" s="150">
        <v>0.2</v>
      </c>
    </row>
    <row r="104" spans="39:42" x14ac:dyDescent="0.25">
      <c r="AM104">
        <v>92</v>
      </c>
      <c r="AN104" s="150">
        <f t="shared" si="37"/>
        <v>0.2</v>
      </c>
      <c r="AO104">
        <v>92</v>
      </c>
      <c r="AP104" s="150">
        <v>0.2</v>
      </c>
    </row>
    <row r="105" spans="39:42" x14ac:dyDescent="0.25">
      <c r="AM105">
        <v>93</v>
      </c>
      <c r="AN105" s="150">
        <f t="shared" si="37"/>
        <v>0.2</v>
      </c>
      <c r="AO105">
        <v>93</v>
      </c>
      <c r="AP105" s="150">
        <v>0.2</v>
      </c>
    </row>
    <row r="106" spans="39:42" x14ac:dyDescent="0.25">
      <c r="AM106">
        <v>94</v>
      </c>
      <c r="AN106" s="150">
        <f t="shared" si="37"/>
        <v>0.2</v>
      </c>
      <c r="AO106">
        <v>94</v>
      </c>
      <c r="AP106" s="150">
        <v>0.2</v>
      </c>
    </row>
    <row r="107" spans="39:42" x14ac:dyDescent="0.25">
      <c r="AM107">
        <v>95</v>
      </c>
      <c r="AN107" s="150">
        <f t="shared" si="37"/>
        <v>0.2</v>
      </c>
      <c r="AO107">
        <v>95</v>
      </c>
      <c r="AP107" s="150">
        <v>0.2</v>
      </c>
    </row>
    <row r="108" spans="39:42" x14ac:dyDescent="0.25">
      <c r="AM108">
        <v>96</v>
      </c>
      <c r="AN108" s="150">
        <f t="shared" si="37"/>
        <v>0.2</v>
      </c>
      <c r="AO108">
        <v>96</v>
      </c>
      <c r="AP108" s="150">
        <v>0.2</v>
      </c>
    </row>
    <row r="109" spans="39:42" x14ac:dyDescent="0.25">
      <c r="AM109">
        <v>97</v>
      </c>
      <c r="AN109" s="150">
        <f t="shared" si="37"/>
        <v>0.2</v>
      </c>
      <c r="AO109">
        <v>97</v>
      </c>
      <c r="AP109" s="150">
        <v>0.2</v>
      </c>
    </row>
    <row r="110" spans="39:42" x14ac:dyDescent="0.25">
      <c r="AM110">
        <v>98</v>
      </c>
      <c r="AN110" s="150">
        <f t="shared" si="37"/>
        <v>0.2</v>
      </c>
      <c r="AO110">
        <v>98</v>
      </c>
      <c r="AP110" s="150">
        <v>0.2</v>
      </c>
    </row>
    <row r="111" spans="39:42" x14ac:dyDescent="0.25">
      <c r="AM111">
        <v>99</v>
      </c>
      <c r="AN111" s="150">
        <f t="shared" si="37"/>
        <v>0.2</v>
      </c>
      <c r="AO111">
        <v>99</v>
      </c>
      <c r="AP111" s="150">
        <v>0.2</v>
      </c>
    </row>
    <row r="112" spans="39:42" x14ac:dyDescent="0.25">
      <c r="AM112">
        <v>100</v>
      </c>
      <c r="AN112" s="150">
        <f t="shared" si="37"/>
        <v>0.2</v>
      </c>
      <c r="AO112">
        <v>100</v>
      </c>
      <c r="AP112" s="150">
        <v>0.2</v>
      </c>
    </row>
    <row r="113" spans="39:42" x14ac:dyDescent="0.25">
      <c r="AM113">
        <v>101</v>
      </c>
      <c r="AN113" s="150">
        <f t="shared" si="37"/>
        <v>0.2</v>
      </c>
      <c r="AO113">
        <v>101</v>
      </c>
      <c r="AP113" s="150">
        <v>0.2</v>
      </c>
    </row>
    <row r="114" spans="39:42" x14ac:dyDescent="0.25">
      <c r="AM114">
        <v>102</v>
      </c>
      <c r="AN114" s="150">
        <f t="shared" si="37"/>
        <v>0.2</v>
      </c>
      <c r="AO114">
        <v>102</v>
      </c>
      <c r="AP114" s="150">
        <v>0.2</v>
      </c>
    </row>
    <row r="115" spans="39:42" x14ac:dyDescent="0.25">
      <c r="AM115">
        <v>103</v>
      </c>
      <c r="AN115" s="150">
        <f t="shared" si="37"/>
        <v>0.2</v>
      </c>
      <c r="AO115">
        <v>103</v>
      </c>
      <c r="AP115" s="150">
        <v>0.2</v>
      </c>
    </row>
    <row r="116" spans="39:42" x14ac:dyDescent="0.25">
      <c r="AM116">
        <v>104</v>
      </c>
      <c r="AN116" s="150">
        <f t="shared" si="37"/>
        <v>0.2</v>
      </c>
      <c r="AO116">
        <v>104</v>
      </c>
      <c r="AP116" s="150">
        <v>0.2</v>
      </c>
    </row>
    <row r="117" spans="39:42" x14ac:dyDescent="0.25">
      <c r="AM117">
        <v>105</v>
      </c>
      <c r="AN117" s="150">
        <f t="shared" si="37"/>
        <v>0.2</v>
      </c>
      <c r="AO117">
        <v>105</v>
      </c>
      <c r="AP117" s="150">
        <v>0.2</v>
      </c>
    </row>
    <row r="118" spans="39:42" x14ac:dyDescent="0.25">
      <c r="AM118">
        <v>106</v>
      </c>
      <c r="AN118" s="150">
        <f t="shared" si="37"/>
        <v>0.2</v>
      </c>
      <c r="AO118">
        <v>106</v>
      </c>
      <c r="AP118" s="150">
        <v>0.2</v>
      </c>
    </row>
    <row r="119" spans="39:42" x14ac:dyDescent="0.25">
      <c r="AM119">
        <v>107</v>
      </c>
      <c r="AN119" s="150">
        <f t="shared" si="37"/>
        <v>0.2</v>
      </c>
      <c r="AO119">
        <v>107</v>
      </c>
      <c r="AP119" s="150">
        <v>0.2</v>
      </c>
    </row>
    <row r="120" spans="39:42" x14ac:dyDescent="0.25">
      <c r="AM120">
        <v>108</v>
      </c>
      <c r="AN120" s="150">
        <f t="shared" si="37"/>
        <v>0.2</v>
      </c>
      <c r="AO120">
        <v>108</v>
      </c>
      <c r="AP120" s="150">
        <v>0.2</v>
      </c>
    </row>
    <row r="121" spans="39:42" x14ac:dyDescent="0.25">
      <c r="AM121">
        <v>109</v>
      </c>
      <c r="AN121" s="150">
        <f t="shared" ref="AN121:AN184" si="46">AN120</f>
        <v>0.2</v>
      </c>
      <c r="AO121">
        <v>109</v>
      </c>
      <c r="AP121" s="150">
        <v>0.2</v>
      </c>
    </row>
    <row r="122" spans="39:42" x14ac:dyDescent="0.25">
      <c r="AM122">
        <v>110</v>
      </c>
      <c r="AN122" s="150">
        <f t="shared" si="46"/>
        <v>0.2</v>
      </c>
      <c r="AO122">
        <v>110</v>
      </c>
      <c r="AP122" s="150">
        <v>0.2</v>
      </c>
    </row>
    <row r="123" spans="39:42" x14ac:dyDescent="0.25">
      <c r="AM123">
        <v>111</v>
      </c>
      <c r="AN123" s="150">
        <f t="shared" si="46"/>
        <v>0.2</v>
      </c>
      <c r="AO123">
        <v>111</v>
      </c>
      <c r="AP123" s="150">
        <v>0.2</v>
      </c>
    </row>
    <row r="124" spans="39:42" x14ac:dyDescent="0.25">
      <c r="AM124">
        <v>112</v>
      </c>
      <c r="AN124" s="150">
        <f t="shared" si="46"/>
        <v>0.2</v>
      </c>
      <c r="AO124">
        <v>112</v>
      </c>
      <c r="AP124" s="150">
        <v>0.2</v>
      </c>
    </row>
    <row r="125" spans="39:42" x14ac:dyDescent="0.25">
      <c r="AM125">
        <v>113</v>
      </c>
      <c r="AN125" s="150">
        <f t="shared" si="46"/>
        <v>0.2</v>
      </c>
      <c r="AO125">
        <v>113</v>
      </c>
      <c r="AP125" s="150">
        <v>0.2</v>
      </c>
    </row>
    <row r="126" spans="39:42" x14ac:dyDescent="0.25">
      <c r="AM126">
        <v>114</v>
      </c>
      <c r="AN126" s="150">
        <f t="shared" si="46"/>
        <v>0.2</v>
      </c>
      <c r="AO126">
        <v>114</v>
      </c>
      <c r="AP126" s="150">
        <v>0.2</v>
      </c>
    </row>
    <row r="127" spans="39:42" x14ac:dyDescent="0.25">
      <c r="AM127">
        <v>115</v>
      </c>
      <c r="AN127" s="150">
        <f t="shared" si="46"/>
        <v>0.2</v>
      </c>
      <c r="AO127">
        <v>115</v>
      </c>
      <c r="AP127" s="150">
        <v>0.2</v>
      </c>
    </row>
    <row r="128" spans="39:42" x14ac:dyDescent="0.25">
      <c r="AM128">
        <v>116</v>
      </c>
      <c r="AN128" s="150">
        <f t="shared" si="46"/>
        <v>0.2</v>
      </c>
      <c r="AO128">
        <v>116</v>
      </c>
      <c r="AP128" s="150">
        <v>0.2</v>
      </c>
    </row>
    <row r="129" spans="39:42" x14ac:dyDescent="0.25">
      <c r="AM129">
        <v>117</v>
      </c>
      <c r="AN129" s="150">
        <f t="shared" si="46"/>
        <v>0.2</v>
      </c>
      <c r="AO129">
        <v>117</v>
      </c>
      <c r="AP129" s="150">
        <v>0.2</v>
      </c>
    </row>
    <row r="130" spans="39:42" x14ac:dyDescent="0.25">
      <c r="AM130">
        <v>118</v>
      </c>
      <c r="AN130" s="150">
        <f t="shared" si="46"/>
        <v>0.2</v>
      </c>
      <c r="AO130">
        <v>118</v>
      </c>
      <c r="AP130" s="150">
        <v>0.2</v>
      </c>
    </row>
    <row r="131" spans="39:42" x14ac:dyDescent="0.25">
      <c r="AM131">
        <v>119</v>
      </c>
      <c r="AN131" s="150">
        <f t="shared" si="46"/>
        <v>0.2</v>
      </c>
      <c r="AO131">
        <v>119</v>
      </c>
      <c r="AP131" s="150">
        <v>0.2</v>
      </c>
    </row>
    <row r="132" spans="39:42" x14ac:dyDescent="0.25">
      <c r="AM132">
        <v>120</v>
      </c>
      <c r="AN132" s="150">
        <f t="shared" si="46"/>
        <v>0.2</v>
      </c>
      <c r="AO132">
        <v>120</v>
      </c>
      <c r="AP132" s="150">
        <v>0.2</v>
      </c>
    </row>
    <row r="133" spans="39:42" x14ac:dyDescent="0.25">
      <c r="AM133">
        <v>121</v>
      </c>
      <c r="AN133" s="150">
        <f t="shared" si="46"/>
        <v>0.2</v>
      </c>
      <c r="AO133">
        <v>121</v>
      </c>
      <c r="AP133" s="150">
        <v>0.2</v>
      </c>
    </row>
    <row r="134" spans="39:42" x14ac:dyDescent="0.25">
      <c r="AM134">
        <v>122</v>
      </c>
      <c r="AN134" s="150">
        <f t="shared" si="46"/>
        <v>0.2</v>
      </c>
      <c r="AO134">
        <v>122</v>
      </c>
      <c r="AP134" s="150">
        <v>0.2</v>
      </c>
    </row>
    <row r="135" spans="39:42" x14ac:dyDescent="0.25">
      <c r="AM135">
        <v>123</v>
      </c>
      <c r="AN135" s="150">
        <f t="shared" si="46"/>
        <v>0.2</v>
      </c>
      <c r="AO135">
        <v>123</v>
      </c>
      <c r="AP135" s="150">
        <v>0.2</v>
      </c>
    </row>
    <row r="136" spans="39:42" x14ac:dyDescent="0.25">
      <c r="AM136">
        <v>124</v>
      </c>
      <c r="AN136" s="150">
        <f t="shared" si="46"/>
        <v>0.2</v>
      </c>
      <c r="AO136">
        <v>124</v>
      </c>
      <c r="AP136" s="150">
        <v>0.2</v>
      </c>
    </row>
    <row r="137" spans="39:42" x14ac:dyDescent="0.25">
      <c r="AM137">
        <v>125</v>
      </c>
      <c r="AN137" s="150">
        <f t="shared" si="46"/>
        <v>0.2</v>
      </c>
      <c r="AO137">
        <v>125</v>
      </c>
      <c r="AP137" s="150">
        <v>0.2</v>
      </c>
    </row>
    <row r="138" spans="39:42" x14ac:dyDescent="0.25">
      <c r="AM138">
        <v>126</v>
      </c>
      <c r="AN138" s="150">
        <f t="shared" si="46"/>
        <v>0.2</v>
      </c>
      <c r="AO138">
        <v>126</v>
      </c>
      <c r="AP138" s="150">
        <v>0.2</v>
      </c>
    </row>
    <row r="139" spans="39:42" x14ac:dyDescent="0.25">
      <c r="AM139">
        <v>127</v>
      </c>
      <c r="AN139" s="150">
        <f t="shared" si="46"/>
        <v>0.2</v>
      </c>
      <c r="AO139">
        <v>127</v>
      </c>
      <c r="AP139" s="150">
        <v>0.2</v>
      </c>
    </row>
    <row r="140" spans="39:42" x14ac:dyDescent="0.25">
      <c r="AM140">
        <v>128</v>
      </c>
      <c r="AN140" s="150">
        <f t="shared" si="46"/>
        <v>0.2</v>
      </c>
      <c r="AO140">
        <v>128</v>
      </c>
      <c r="AP140" s="150">
        <v>0.2</v>
      </c>
    </row>
    <row r="141" spans="39:42" x14ac:dyDescent="0.25">
      <c r="AM141">
        <v>129</v>
      </c>
      <c r="AN141" s="150">
        <f t="shared" si="46"/>
        <v>0.2</v>
      </c>
      <c r="AO141">
        <v>129</v>
      </c>
      <c r="AP141" s="150">
        <v>0.2</v>
      </c>
    </row>
    <row r="142" spans="39:42" x14ac:dyDescent="0.25">
      <c r="AM142">
        <v>130</v>
      </c>
      <c r="AN142" s="150">
        <f t="shared" si="46"/>
        <v>0.2</v>
      </c>
      <c r="AO142">
        <v>130</v>
      </c>
      <c r="AP142" s="150">
        <v>0.2</v>
      </c>
    </row>
    <row r="143" spans="39:42" x14ac:dyDescent="0.25">
      <c r="AM143">
        <v>131</v>
      </c>
      <c r="AN143" s="150">
        <f t="shared" si="46"/>
        <v>0.2</v>
      </c>
      <c r="AO143">
        <v>131</v>
      </c>
      <c r="AP143" s="150">
        <v>0.2</v>
      </c>
    </row>
    <row r="144" spans="39:42" x14ac:dyDescent="0.25">
      <c r="AM144">
        <v>132</v>
      </c>
      <c r="AN144" s="150">
        <f t="shared" si="46"/>
        <v>0.2</v>
      </c>
      <c r="AO144">
        <v>132</v>
      </c>
      <c r="AP144" s="150">
        <v>0.2</v>
      </c>
    </row>
    <row r="145" spans="39:42" x14ac:dyDescent="0.25">
      <c r="AM145">
        <v>133</v>
      </c>
      <c r="AN145" s="150">
        <f t="shared" si="46"/>
        <v>0.2</v>
      </c>
      <c r="AO145">
        <v>133</v>
      </c>
      <c r="AP145" s="150">
        <v>0.2</v>
      </c>
    </row>
    <row r="146" spans="39:42" x14ac:dyDescent="0.25">
      <c r="AM146">
        <v>134</v>
      </c>
      <c r="AN146" s="150">
        <f t="shared" si="46"/>
        <v>0.2</v>
      </c>
      <c r="AO146">
        <v>134</v>
      </c>
      <c r="AP146" s="150">
        <v>0.2</v>
      </c>
    </row>
    <row r="147" spans="39:42" x14ac:dyDescent="0.25">
      <c r="AM147">
        <v>135</v>
      </c>
      <c r="AN147" s="150">
        <f t="shared" si="46"/>
        <v>0.2</v>
      </c>
      <c r="AO147">
        <v>135</v>
      </c>
      <c r="AP147" s="150">
        <v>0.2</v>
      </c>
    </row>
    <row r="148" spans="39:42" x14ac:dyDescent="0.25">
      <c r="AM148">
        <v>136</v>
      </c>
      <c r="AN148" s="150">
        <f t="shared" si="46"/>
        <v>0.2</v>
      </c>
      <c r="AO148">
        <v>136</v>
      </c>
      <c r="AP148" s="150">
        <v>0.2</v>
      </c>
    </row>
    <row r="149" spans="39:42" x14ac:dyDescent="0.25">
      <c r="AM149">
        <v>137</v>
      </c>
      <c r="AN149" s="150">
        <f t="shared" si="46"/>
        <v>0.2</v>
      </c>
      <c r="AO149">
        <v>137</v>
      </c>
      <c r="AP149" s="150">
        <v>0.2</v>
      </c>
    </row>
    <row r="150" spans="39:42" x14ac:dyDescent="0.25">
      <c r="AM150">
        <v>138</v>
      </c>
      <c r="AN150" s="150">
        <f t="shared" si="46"/>
        <v>0.2</v>
      </c>
      <c r="AO150">
        <v>138</v>
      </c>
      <c r="AP150" s="150">
        <v>0.2</v>
      </c>
    </row>
    <row r="151" spans="39:42" x14ac:dyDescent="0.25">
      <c r="AM151">
        <v>139</v>
      </c>
      <c r="AN151" s="150">
        <f t="shared" si="46"/>
        <v>0.2</v>
      </c>
      <c r="AO151">
        <v>139</v>
      </c>
      <c r="AP151" s="150">
        <v>0.2</v>
      </c>
    </row>
    <row r="152" spans="39:42" x14ac:dyDescent="0.25">
      <c r="AM152">
        <v>140</v>
      </c>
      <c r="AN152" s="150">
        <f t="shared" si="46"/>
        <v>0.2</v>
      </c>
      <c r="AO152">
        <v>140</v>
      </c>
      <c r="AP152" s="150">
        <v>0.2</v>
      </c>
    </row>
    <row r="153" spans="39:42" x14ac:dyDescent="0.25">
      <c r="AM153">
        <v>141</v>
      </c>
      <c r="AN153" s="150">
        <f t="shared" si="46"/>
        <v>0.2</v>
      </c>
      <c r="AO153">
        <v>141</v>
      </c>
      <c r="AP153" s="150">
        <v>0.2</v>
      </c>
    </row>
    <row r="154" spans="39:42" x14ac:dyDescent="0.25">
      <c r="AM154">
        <v>142</v>
      </c>
      <c r="AN154" s="150">
        <f t="shared" si="46"/>
        <v>0.2</v>
      </c>
      <c r="AO154">
        <v>142</v>
      </c>
      <c r="AP154" s="150">
        <v>0.2</v>
      </c>
    </row>
    <row r="155" spans="39:42" x14ac:dyDescent="0.25">
      <c r="AM155">
        <v>143</v>
      </c>
      <c r="AN155" s="150">
        <f t="shared" si="46"/>
        <v>0.2</v>
      </c>
      <c r="AO155">
        <v>143</v>
      </c>
      <c r="AP155" s="150">
        <v>0.2</v>
      </c>
    </row>
    <row r="156" spans="39:42" x14ac:dyDescent="0.25">
      <c r="AM156">
        <v>144</v>
      </c>
      <c r="AN156" s="150">
        <f t="shared" si="46"/>
        <v>0.2</v>
      </c>
      <c r="AO156">
        <v>144</v>
      </c>
      <c r="AP156" s="150">
        <v>0.2</v>
      </c>
    </row>
    <row r="157" spans="39:42" x14ac:dyDescent="0.25">
      <c r="AM157">
        <v>145</v>
      </c>
      <c r="AN157" s="150">
        <f t="shared" si="46"/>
        <v>0.2</v>
      </c>
      <c r="AO157">
        <v>145</v>
      </c>
      <c r="AP157" s="150">
        <v>0.2</v>
      </c>
    </row>
    <row r="158" spans="39:42" x14ac:dyDescent="0.25">
      <c r="AM158">
        <v>146</v>
      </c>
      <c r="AN158" s="150">
        <f t="shared" si="46"/>
        <v>0.2</v>
      </c>
      <c r="AO158">
        <v>146</v>
      </c>
      <c r="AP158" s="150">
        <v>0.2</v>
      </c>
    </row>
    <row r="159" spans="39:42" x14ac:dyDescent="0.25">
      <c r="AM159">
        <v>147</v>
      </c>
      <c r="AN159" s="150">
        <f t="shared" si="46"/>
        <v>0.2</v>
      </c>
      <c r="AO159">
        <v>147</v>
      </c>
      <c r="AP159" s="150">
        <v>0.2</v>
      </c>
    </row>
    <row r="160" spans="39:42" x14ac:dyDescent="0.25">
      <c r="AM160">
        <v>148</v>
      </c>
      <c r="AN160" s="150">
        <f t="shared" si="46"/>
        <v>0.2</v>
      </c>
      <c r="AO160">
        <v>148</v>
      </c>
      <c r="AP160" s="150">
        <v>0.2</v>
      </c>
    </row>
    <row r="161" spans="39:42" x14ac:dyDescent="0.25">
      <c r="AM161">
        <v>149</v>
      </c>
      <c r="AN161" s="150">
        <f t="shared" si="46"/>
        <v>0.2</v>
      </c>
      <c r="AO161">
        <v>149</v>
      </c>
      <c r="AP161" s="150">
        <v>0.2</v>
      </c>
    </row>
    <row r="162" spans="39:42" x14ac:dyDescent="0.25">
      <c r="AM162">
        <v>150</v>
      </c>
      <c r="AN162" s="150">
        <f t="shared" si="46"/>
        <v>0.2</v>
      </c>
      <c r="AO162">
        <v>150</v>
      </c>
      <c r="AP162" s="150">
        <v>0.2</v>
      </c>
    </row>
    <row r="163" spans="39:42" x14ac:dyDescent="0.25">
      <c r="AM163">
        <v>151</v>
      </c>
      <c r="AN163" s="150">
        <f t="shared" si="46"/>
        <v>0.2</v>
      </c>
      <c r="AO163">
        <v>151</v>
      </c>
      <c r="AP163" s="150">
        <v>0.2</v>
      </c>
    </row>
    <row r="164" spans="39:42" x14ac:dyDescent="0.25">
      <c r="AM164">
        <v>152</v>
      </c>
      <c r="AN164" s="150">
        <f t="shared" si="46"/>
        <v>0.2</v>
      </c>
      <c r="AO164">
        <v>152</v>
      </c>
      <c r="AP164" s="150">
        <v>0.2</v>
      </c>
    </row>
    <row r="165" spans="39:42" x14ac:dyDescent="0.25">
      <c r="AM165">
        <v>153</v>
      </c>
      <c r="AN165" s="150">
        <f t="shared" si="46"/>
        <v>0.2</v>
      </c>
      <c r="AO165">
        <v>153</v>
      </c>
      <c r="AP165" s="150">
        <v>0.2</v>
      </c>
    </row>
    <row r="166" spans="39:42" x14ac:dyDescent="0.25">
      <c r="AM166">
        <v>154</v>
      </c>
      <c r="AN166" s="150">
        <f t="shared" si="46"/>
        <v>0.2</v>
      </c>
      <c r="AO166">
        <v>154</v>
      </c>
      <c r="AP166" s="150">
        <v>0.2</v>
      </c>
    </row>
    <row r="167" spans="39:42" x14ac:dyDescent="0.25">
      <c r="AM167">
        <v>155</v>
      </c>
      <c r="AN167" s="150">
        <f t="shared" si="46"/>
        <v>0.2</v>
      </c>
      <c r="AO167">
        <v>155</v>
      </c>
      <c r="AP167" s="150">
        <v>0.2</v>
      </c>
    </row>
    <row r="168" spans="39:42" x14ac:dyDescent="0.25">
      <c r="AM168">
        <v>156</v>
      </c>
      <c r="AN168" s="150">
        <f t="shared" si="46"/>
        <v>0.2</v>
      </c>
      <c r="AO168">
        <v>156</v>
      </c>
      <c r="AP168" s="150">
        <v>0.2</v>
      </c>
    </row>
    <row r="169" spans="39:42" x14ac:dyDescent="0.25">
      <c r="AM169">
        <v>157</v>
      </c>
      <c r="AN169" s="150">
        <f t="shared" si="46"/>
        <v>0.2</v>
      </c>
      <c r="AO169">
        <v>157</v>
      </c>
      <c r="AP169" s="150">
        <v>0.2</v>
      </c>
    </row>
    <row r="170" spans="39:42" x14ac:dyDescent="0.25">
      <c r="AM170">
        <v>158</v>
      </c>
      <c r="AN170" s="150">
        <f t="shared" si="46"/>
        <v>0.2</v>
      </c>
      <c r="AO170">
        <v>158</v>
      </c>
      <c r="AP170" s="150">
        <v>0.2</v>
      </c>
    </row>
    <row r="171" spans="39:42" x14ac:dyDescent="0.25">
      <c r="AM171">
        <v>159</v>
      </c>
      <c r="AN171" s="150">
        <f t="shared" si="46"/>
        <v>0.2</v>
      </c>
      <c r="AO171">
        <v>159</v>
      </c>
      <c r="AP171" s="150">
        <v>0.2</v>
      </c>
    </row>
    <row r="172" spans="39:42" x14ac:dyDescent="0.25">
      <c r="AM172">
        <v>160</v>
      </c>
      <c r="AN172" s="150">
        <f t="shared" si="46"/>
        <v>0.2</v>
      </c>
      <c r="AO172">
        <v>160</v>
      </c>
      <c r="AP172" s="150">
        <v>0.2</v>
      </c>
    </row>
    <row r="173" spans="39:42" x14ac:dyDescent="0.25">
      <c r="AM173">
        <v>161</v>
      </c>
      <c r="AN173" s="150">
        <f t="shared" si="46"/>
        <v>0.2</v>
      </c>
      <c r="AO173">
        <v>161</v>
      </c>
      <c r="AP173" s="150">
        <v>0.2</v>
      </c>
    </row>
    <row r="174" spans="39:42" x14ac:dyDescent="0.25">
      <c r="AM174">
        <v>162</v>
      </c>
      <c r="AN174" s="150">
        <f t="shared" si="46"/>
        <v>0.2</v>
      </c>
      <c r="AO174">
        <v>162</v>
      </c>
      <c r="AP174" s="150">
        <v>0.2</v>
      </c>
    </row>
    <row r="175" spans="39:42" x14ac:dyDescent="0.25">
      <c r="AM175">
        <v>163</v>
      </c>
      <c r="AN175" s="150">
        <f t="shared" si="46"/>
        <v>0.2</v>
      </c>
      <c r="AO175">
        <v>163</v>
      </c>
      <c r="AP175" s="150">
        <v>0.2</v>
      </c>
    </row>
    <row r="176" spans="39:42" x14ac:dyDescent="0.25">
      <c r="AM176">
        <v>164</v>
      </c>
      <c r="AN176" s="150">
        <f t="shared" si="46"/>
        <v>0.2</v>
      </c>
      <c r="AO176">
        <v>164</v>
      </c>
      <c r="AP176" s="150">
        <v>0.2</v>
      </c>
    </row>
    <row r="177" spans="39:42" x14ac:dyDescent="0.25">
      <c r="AM177">
        <v>165</v>
      </c>
      <c r="AN177" s="150">
        <f t="shared" si="46"/>
        <v>0.2</v>
      </c>
      <c r="AO177">
        <v>165</v>
      </c>
      <c r="AP177" s="150">
        <v>0.2</v>
      </c>
    </row>
    <row r="178" spans="39:42" x14ac:dyDescent="0.25">
      <c r="AM178">
        <v>166</v>
      </c>
      <c r="AN178" s="150">
        <f t="shared" si="46"/>
        <v>0.2</v>
      </c>
      <c r="AO178">
        <v>166</v>
      </c>
      <c r="AP178" s="150">
        <v>0.2</v>
      </c>
    </row>
    <row r="179" spans="39:42" x14ac:dyDescent="0.25">
      <c r="AM179">
        <v>167</v>
      </c>
      <c r="AN179" s="150">
        <f t="shared" si="46"/>
        <v>0.2</v>
      </c>
      <c r="AO179">
        <v>167</v>
      </c>
      <c r="AP179" s="150">
        <v>0.2</v>
      </c>
    </row>
    <row r="180" spans="39:42" x14ac:dyDescent="0.25">
      <c r="AM180">
        <v>168</v>
      </c>
      <c r="AN180" s="150">
        <f t="shared" si="46"/>
        <v>0.2</v>
      </c>
      <c r="AO180">
        <v>168</v>
      </c>
      <c r="AP180" s="150">
        <v>0.2</v>
      </c>
    </row>
    <row r="181" spans="39:42" x14ac:dyDescent="0.25">
      <c r="AM181">
        <v>169</v>
      </c>
      <c r="AN181" s="150">
        <f t="shared" si="46"/>
        <v>0.2</v>
      </c>
      <c r="AO181">
        <v>169</v>
      </c>
      <c r="AP181" s="150">
        <v>0.2</v>
      </c>
    </row>
    <row r="182" spans="39:42" x14ac:dyDescent="0.25">
      <c r="AM182">
        <v>170</v>
      </c>
      <c r="AN182" s="150">
        <f t="shared" si="46"/>
        <v>0.2</v>
      </c>
      <c r="AO182">
        <v>170</v>
      </c>
      <c r="AP182" s="150">
        <v>0.2</v>
      </c>
    </row>
    <row r="183" spans="39:42" x14ac:dyDescent="0.25">
      <c r="AM183">
        <v>171</v>
      </c>
      <c r="AN183" s="150">
        <f t="shared" si="46"/>
        <v>0.2</v>
      </c>
      <c r="AO183">
        <v>171</v>
      </c>
      <c r="AP183" s="150">
        <v>0.2</v>
      </c>
    </row>
    <row r="184" spans="39:42" x14ac:dyDescent="0.25">
      <c r="AM184">
        <v>172</v>
      </c>
      <c r="AN184" s="150">
        <f t="shared" si="46"/>
        <v>0.2</v>
      </c>
      <c r="AO184">
        <v>172</v>
      </c>
      <c r="AP184" s="150">
        <v>0.2</v>
      </c>
    </row>
    <row r="185" spans="39:42" x14ac:dyDescent="0.25">
      <c r="AM185">
        <v>173</v>
      </c>
      <c r="AN185" s="150">
        <f t="shared" ref="AN185:AN212" si="47">AN184</f>
        <v>0.2</v>
      </c>
      <c r="AO185">
        <v>173</v>
      </c>
      <c r="AP185" s="150">
        <v>0.2</v>
      </c>
    </row>
    <row r="186" spans="39:42" x14ac:dyDescent="0.25">
      <c r="AM186">
        <v>174</v>
      </c>
      <c r="AN186" s="150">
        <f t="shared" si="47"/>
        <v>0.2</v>
      </c>
      <c r="AO186">
        <v>174</v>
      </c>
      <c r="AP186" s="150">
        <v>0.2</v>
      </c>
    </row>
    <row r="187" spans="39:42" x14ac:dyDescent="0.25">
      <c r="AM187">
        <v>175</v>
      </c>
      <c r="AN187" s="150">
        <f t="shared" si="47"/>
        <v>0.2</v>
      </c>
      <c r="AO187">
        <v>175</v>
      </c>
      <c r="AP187" s="150">
        <v>0.2</v>
      </c>
    </row>
    <row r="188" spans="39:42" x14ac:dyDescent="0.25">
      <c r="AM188">
        <v>176</v>
      </c>
      <c r="AN188" s="150">
        <f t="shared" si="47"/>
        <v>0.2</v>
      </c>
      <c r="AO188">
        <v>176</v>
      </c>
      <c r="AP188" s="150">
        <v>0.2</v>
      </c>
    </row>
    <row r="189" spans="39:42" x14ac:dyDescent="0.25">
      <c r="AM189">
        <v>177</v>
      </c>
      <c r="AN189" s="150">
        <f t="shared" si="47"/>
        <v>0.2</v>
      </c>
      <c r="AO189">
        <v>177</v>
      </c>
      <c r="AP189" s="150">
        <v>0.2</v>
      </c>
    </row>
    <row r="190" spans="39:42" x14ac:dyDescent="0.25">
      <c r="AM190">
        <v>178</v>
      </c>
      <c r="AN190" s="150">
        <f t="shared" si="47"/>
        <v>0.2</v>
      </c>
      <c r="AO190">
        <v>178</v>
      </c>
      <c r="AP190" s="150">
        <v>0.2</v>
      </c>
    </row>
    <row r="191" spans="39:42" x14ac:dyDescent="0.25">
      <c r="AM191">
        <v>179</v>
      </c>
      <c r="AN191" s="150">
        <f t="shared" si="47"/>
        <v>0.2</v>
      </c>
      <c r="AO191">
        <v>179</v>
      </c>
      <c r="AP191" s="150">
        <v>0.2</v>
      </c>
    </row>
    <row r="192" spans="39:42" x14ac:dyDescent="0.25">
      <c r="AM192">
        <v>180</v>
      </c>
      <c r="AN192" s="150">
        <f t="shared" si="47"/>
        <v>0.2</v>
      </c>
      <c r="AO192">
        <v>180</v>
      </c>
      <c r="AP192" s="150">
        <v>0.2</v>
      </c>
    </row>
    <row r="193" spans="39:42" x14ac:dyDescent="0.25">
      <c r="AM193">
        <v>181</v>
      </c>
      <c r="AN193" s="150">
        <f t="shared" si="47"/>
        <v>0.2</v>
      </c>
      <c r="AO193">
        <v>181</v>
      </c>
      <c r="AP193" s="150">
        <v>0.2</v>
      </c>
    </row>
    <row r="194" spans="39:42" x14ac:dyDescent="0.25">
      <c r="AM194">
        <v>182</v>
      </c>
      <c r="AN194" s="150">
        <f t="shared" si="47"/>
        <v>0.2</v>
      </c>
      <c r="AO194">
        <v>182</v>
      </c>
      <c r="AP194" s="150">
        <v>0.2</v>
      </c>
    </row>
    <row r="195" spans="39:42" x14ac:dyDescent="0.25">
      <c r="AM195">
        <v>183</v>
      </c>
      <c r="AN195" s="150">
        <f t="shared" si="47"/>
        <v>0.2</v>
      </c>
      <c r="AO195">
        <v>183</v>
      </c>
      <c r="AP195" s="150">
        <v>0.2</v>
      </c>
    </row>
    <row r="196" spans="39:42" x14ac:dyDescent="0.25">
      <c r="AM196">
        <v>184</v>
      </c>
      <c r="AN196" s="150">
        <f t="shared" si="47"/>
        <v>0.2</v>
      </c>
      <c r="AO196">
        <v>184</v>
      </c>
      <c r="AP196" s="150">
        <v>0.2</v>
      </c>
    </row>
    <row r="197" spans="39:42" x14ac:dyDescent="0.25">
      <c r="AM197">
        <v>185</v>
      </c>
      <c r="AN197" s="150">
        <f t="shared" si="47"/>
        <v>0.2</v>
      </c>
      <c r="AO197">
        <v>185</v>
      </c>
      <c r="AP197" s="150">
        <v>0.2</v>
      </c>
    </row>
    <row r="198" spans="39:42" x14ac:dyDescent="0.25">
      <c r="AM198">
        <v>186</v>
      </c>
      <c r="AN198" s="150">
        <f t="shared" si="47"/>
        <v>0.2</v>
      </c>
      <c r="AO198">
        <v>186</v>
      </c>
      <c r="AP198" s="150">
        <v>0.2</v>
      </c>
    </row>
    <row r="199" spans="39:42" x14ac:dyDescent="0.25">
      <c r="AM199">
        <v>187</v>
      </c>
      <c r="AN199" s="150">
        <f t="shared" si="47"/>
        <v>0.2</v>
      </c>
      <c r="AO199">
        <v>187</v>
      </c>
      <c r="AP199" s="150">
        <v>0.2</v>
      </c>
    </row>
    <row r="200" spans="39:42" x14ac:dyDescent="0.25">
      <c r="AM200">
        <v>188</v>
      </c>
      <c r="AN200" s="150">
        <f t="shared" si="47"/>
        <v>0.2</v>
      </c>
      <c r="AO200">
        <v>188</v>
      </c>
      <c r="AP200" s="150">
        <v>0.2</v>
      </c>
    </row>
    <row r="201" spans="39:42" x14ac:dyDescent="0.25">
      <c r="AM201">
        <v>189</v>
      </c>
      <c r="AN201" s="150">
        <f t="shared" si="47"/>
        <v>0.2</v>
      </c>
      <c r="AO201">
        <v>189</v>
      </c>
      <c r="AP201" s="150">
        <v>0.2</v>
      </c>
    </row>
    <row r="202" spans="39:42" x14ac:dyDescent="0.25">
      <c r="AM202">
        <v>190</v>
      </c>
      <c r="AN202" s="150">
        <f t="shared" si="47"/>
        <v>0.2</v>
      </c>
      <c r="AO202">
        <v>190</v>
      </c>
      <c r="AP202" s="150">
        <v>0.2</v>
      </c>
    </row>
    <row r="203" spans="39:42" x14ac:dyDescent="0.25">
      <c r="AM203">
        <v>191</v>
      </c>
      <c r="AN203" s="150">
        <f t="shared" si="47"/>
        <v>0.2</v>
      </c>
      <c r="AO203">
        <v>191</v>
      </c>
      <c r="AP203" s="150">
        <v>0.2</v>
      </c>
    </row>
    <row r="204" spans="39:42" x14ac:dyDescent="0.25">
      <c r="AM204">
        <v>192</v>
      </c>
      <c r="AN204" s="150">
        <f t="shared" si="47"/>
        <v>0.2</v>
      </c>
      <c r="AO204">
        <v>192</v>
      </c>
      <c r="AP204" s="150">
        <v>0.2</v>
      </c>
    </row>
    <row r="205" spans="39:42" x14ac:dyDescent="0.25">
      <c r="AM205">
        <v>193</v>
      </c>
      <c r="AN205" s="150">
        <f t="shared" si="47"/>
        <v>0.2</v>
      </c>
      <c r="AO205">
        <v>193</v>
      </c>
      <c r="AP205" s="150">
        <v>0.2</v>
      </c>
    </row>
    <row r="206" spans="39:42" x14ac:dyDescent="0.25">
      <c r="AM206">
        <v>194</v>
      </c>
      <c r="AN206" s="150">
        <f t="shared" si="47"/>
        <v>0.2</v>
      </c>
      <c r="AO206">
        <v>194</v>
      </c>
      <c r="AP206" s="150">
        <v>0.2</v>
      </c>
    </row>
    <row r="207" spans="39:42" x14ac:dyDescent="0.25">
      <c r="AM207">
        <v>195</v>
      </c>
      <c r="AN207" s="150">
        <f t="shared" si="47"/>
        <v>0.2</v>
      </c>
      <c r="AO207">
        <v>195</v>
      </c>
      <c r="AP207" s="150">
        <v>0.2</v>
      </c>
    </row>
    <row r="208" spans="39:42" x14ac:dyDescent="0.25">
      <c r="AM208">
        <v>196</v>
      </c>
      <c r="AN208" s="150">
        <f t="shared" si="47"/>
        <v>0.2</v>
      </c>
      <c r="AO208">
        <v>196</v>
      </c>
      <c r="AP208" s="150">
        <v>0.2</v>
      </c>
    </row>
    <row r="209" spans="39:42" x14ac:dyDescent="0.25">
      <c r="AM209">
        <v>197</v>
      </c>
      <c r="AN209" s="150">
        <f t="shared" si="47"/>
        <v>0.2</v>
      </c>
      <c r="AO209">
        <v>197</v>
      </c>
      <c r="AP209" s="150">
        <v>0.2</v>
      </c>
    </row>
    <row r="210" spans="39:42" x14ac:dyDescent="0.25">
      <c r="AM210">
        <v>198</v>
      </c>
      <c r="AN210" s="150">
        <f t="shared" si="47"/>
        <v>0.2</v>
      </c>
      <c r="AO210">
        <v>198</v>
      </c>
      <c r="AP210" s="150">
        <v>0.2</v>
      </c>
    </row>
    <row r="211" spans="39:42" x14ac:dyDescent="0.25">
      <c r="AM211">
        <v>199</v>
      </c>
      <c r="AN211" s="150">
        <f t="shared" si="47"/>
        <v>0.2</v>
      </c>
      <c r="AO211">
        <v>199</v>
      </c>
      <c r="AP211" s="150">
        <v>0.2</v>
      </c>
    </row>
    <row r="212" spans="39:42" x14ac:dyDescent="0.25">
      <c r="AM212">
        <v>200</v>
      </c>
      <c r="AN212" s="150">
        <f t="shared" si="47"/>
        <v>0.2</v>
      </c>
      <c r="AO212">
        <v>200</v>
      </c>
      <c r="AP212" s="150">
        <v>0.2</v>
      </c>
    </row>
  </sheetData>
  <phoneticPr fontId="2"/>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tint="0.34998626667073579"/>
  </sheetPr>
  <dimension ref="B3:X76"/>
  <sheetViews>
    <sheetView zoomScale="70" zoomScaleNormal="70" workbookViewId="0">
      <selection activeCell="P56" sqref="P56"/>
    </sheetView>
  </sheetViews>
  <sheetFormatPr defaultRowHeight="14.25" x14ac:dyDescent="0.25"/>
  <cols>
    <col min="2" max="2" width="12.625" customWidth="1"/>
    <col min="3" max="3" width="3.875" customWidth="1"/>
    <col min="4" max="4" width="11.25" bestFit="1" customWidth="1"/>
  </cols>
  <sheetData>
    <row r="3" spans="2:8" x14ac:dyDescent="0.25">
      <c r="B3" t="s">
        <v>88</v>
      </c>
    </row>
    <row r="8" spans="2:8" x14ac:dyDescent="0.25">
      <c r="D8" t="s">
        <v>105</v>
      </c>
      <c r="E8" t="s">
        <v>56</v>
      </c>
      <c r="F8" t="s">
        <v>55</v>
      </c>
      <c r="G8" t="s">
        <v>109</v>
      </c>
      <c r="H8" t="s">
        <v>110</v>
      </c>
    </row>
    <row r="9" spans="2:8" x14ac:dyDescent="0.25">
      <c r="D9" t="s">
        <v>91</v>
      </c>
      <c r="E9" s="1">
        <v>21</v>
      </c>
      <c r="F9" s="1">
        <v>47.97</v>
      </c>
      <c r="G9" s="1">
        <f>F9-E9</f>
        <v>26.97</v>
      </c>
      <c r="H9" s="1">
        <f>F9/E9</f>
        <v>2.2842857142857143</v>
      </c>
    </row>
    <row r="10" spans="2:8" x14ac:dyDescent="0.25">
      <c r="D10" t="s">
        <v>92</v>
      </c>
      <c r="E10" s="1">
        <v>21.24</v>
      </c>
      <c r="F10" s="1">
        <v>43.88</v>
      </c>
      <c r="G10" s="1">
        <f t="shared" ref="G10:G31" si="0">F10-E10</f>
        <v>22.640000000000004</v>
      </c>
      <c r="H10" s="1">
        <f t="shared" ref="H10:H31" si="1">F10/E10</f>
        <v>2.0659133709981172</v>
      </c>
    </row>
    <row r="11" spans="2:8" x14ac:dyDescent="0.25">
      <c r="D11" t="s">
        <v>93</v>
      </c>
      <c r="E11" s="1">
        <v>25.96</v>
      </c>
      <c r="F11" s="1">
        <v>52.67</v>
      </c>
      <c r="G11" s="1">
        <f t="shared" si="0"/>
        <v>26.71</v>
      </c>
      <c r="H11" s="1">
        <f t="shared" si="1"/>
        <v>2.0288906009244991</v>
      </c>
    </row>
    <row r="12" spans="2:8" x14ac:dyDescent="0.25">
      <c r="D12" t="s">
        <v>106</v>
      </c>
      <c r="E12" s="1">
        <f>SUM(E9:E11)</f>
        <v>68.199999999999989</v>
      </c>
      <c r="F12" s="1">
        <f>SUM(F9:F11)</f>
        <v>144.51999999999998</v>
      </c>
      <c r="G12" s="1">
        <f t="shared" si="0"/>
        <v>76.319999999999993</v>
      </c>
      <c r="H12" s="1">
        <f t="shared" si="1"/>
        <v>2.1190615835777127</v>
      </c>
    </row>
    <row r="13" spans="2:8" x14ac:dyDescent="0.25">
      <c r="D13" t="s">
        <v>107</v>
      </c>
      <c r="E13" s="1">
        <f>AVERAGE(E9:E11)</f>
        <v>22.733333333333331</v>
      </c>
      <c r="F13" s="1">
        <f>AVERAGE(F9:F11)</f>
        <v>48.173333333333325</v>
      </c>
      <c r="G13" s="1">
        <f t="shared" si="0"/>
        <v>25.439999999999994</v>
      </c>
      <c r="H13" s="1">
        <f t="shared" si="1"/>
        <v>2.1190615835777127</v>
      </c>
    </row>
    <row r="14" spans="2:8" x14ac:dyDescent="0.25">
      <c r="D14" t="s">
        <v>90</v>
      </c>
      <c r="E14" s="1">
        <v>34.26</v>
      </c>
      <c r="F14" s="1">
        <v>184.2</v>
      </c>
      <c r="G14" s="1">
        <f t="shared" si="0"/>
        <v>149.94</v>
      </c>
      <c r="H14" s="1">
        <f t="shared" si="1"/>
        <v>5.3765323992994745</v>
      </c>
    </row>
    <row r="15" spans="2:8" x14ac:dyDescent="0.25">
      <c r="D15" t="s">
        <v>94</v>
      </c>
      <c r="E15" s="1">
        <v>27.09</v>
      </c>
      <c r="F15" s="1">
        <v>127.59</v>
      </c>
      <c r="G15" s="1">
        <f t="shared" si="0"/>
        <v>100.5</v>
      </c>
      <c r="H15" s="1">
        <f t="shared" si="1"/>
        <v>4.709856035437431</v>
      </c>
    </row>
    <row r="16" spans="2:8" x14ac:dyDescent="0.25">
      <c r="D16" t="s">
        <v>95</v>
      </c>
      <c r="E16" s="1">
        <v>28.92</v>
      </c>
      <c r="F16" s="1">
        <v>136.59</v>
      </c>
      <c r="G16" s="1">
        <f t="shared" si="0"/>
        <v>107.67</v>
      </c>
      <c r="H16" s="1">
        <f t="shared" si="1"/>
        <v>4.7230290456431536</v>
      </c>
    </row>
    <row r="17" spans="4:8" x14ac:dyDescent="0.25">
      <c r="D17" t="s">
        <v>96</v>
      </c>
      <c r="E17" s="1">
        <v>31.9</v>
      </c>
      <c r="F17" s="1">
        <v>146.4</v>
      </c>
      <c r="G17" s="1">
        <f t="shared" si="0"/>
        <v>114.5</v>
      </c>
      <c r="H17" s="1">
        <f t="shared" si="1"/>
        <v>4.5893416927899686</v>
      </c>
    </row>
    <row r="18" spans="4:8" x14ac:dyDescent="0.25">
      <c r="D18" t="s">
        <v>97</v>
      </c>
      <c r="E18" s="1">
        <v>34.5</v>
      </c>
      <c r="F18" s="1">
        <v>155.72999999999999</v>
      </c>
      <c r="G18" s="1">
        <f t="shared" si="0"/>
        <v>121.22999999999999</v>
      </c>
      <c r="H18" s="1">
        <f t="shared" si="1"/>
        <v>4.5139130434782606</v>
      </c>
    </row>
    <row r="19" spans="4:8" x14ac:dyDescent="0.25">
      <c r="D19" t="s">
        <v>98</v>
      </c>
      <c r="E19" s="1">
        <v>37.53</v>
      </c>
      <c r="F19" s="1">
        <v>165.86920000000001</v>
      </c>
      <c r="G19" s="1">
        <f t="shared" si="0"/>
        <v>128.33920000000001</v>
      </c>
      <c r="H19" s="1">
        <f t="shared" si="1"/>
        <v>4.4196429523048231</v>
      </c>
    </row>
    <row r="20" spans="4:8" x14ac:dyDescent="0.25">
      <c r="D20" t="s">
        <v>106</v>
      </c>
      <c r="E20" s="1">
        <f>SUM(E14:E19)</f>
        <v>194.2</v>
      </c>
      <c r="F20" s="1">
        <f>SUM(F14:F19)</f>
        <v>916.37919999999997</v>
      </c>
      <c r="G20" s="1">
        <f t="shared" si="0"/>
        <v>722.17920000000004</v>
      </c>
      <c r="H20" s="1">
        <f t="shared" si="1"/>
        <v>4.7187394438722965</v>
      </c>
    </row>
    <row r="21" spans="4:8" x14ac:dyDescent="0.25">
      <c r="D21" t="s">
        <v>107</v>
      </c>
      <c r="E21" s="1">
        <f>AVERAGE(E14:E19)</f>
        <v>32.366666666666667</v>
      </c>
      <c r="F21" s="1">
        <f>AVERAGE(F14:F19)</f>
        <v>152.72986666666665</v>
      </c>
      <c r="G21" s="1">
        <f t="shared" si="0"/>
        <v>120.36319999999998</v>
      </c>
      <c r="H21" s="1">
        <f t="shared" si="1"/>
        <v>4.7187394438722965</v>
      </c>
    </row>
    <row r="22" spans="4:8" x14ac:dyDescent="0.25">
      <c r="D22" t="s">
        <v>99</v>
      </c>
      <c r="E22" s="1">
        <v>64.91</v>
      </c>
      <c r="F22" s="1">
        <v>157.21</v>
      </c>
      <c r="G22" s="1">
        <f t="shared" si="0"/>
        <v>92.300000000000011</v>
      </c>
      <c r="H22" s="1">
        <f t="shared" si="1"/>
        <v>2.4219688799876753</v>
      </c>
    </row>
    <row r="23" spans="4:8" x14ac:dyDescent="0.25">
      <c r="D23" t="s">
        <v>100</v>
      </c>
      <c r="E23" s="1">
        <v>39.270000000000003</v>
      </c>
      <c r="F23" s="1">
        <v>115.68</v>
      </c>
      <c r="G23" s="1">
        <f t="shared" si="0"/>
        <v>76.41</v>
      </c>
      <c r="H23" s="1">
        <f t="shared" si="1"/>
        <v>2.9457601222307104</v>
      </c>
    </row>
    <row r="24" spans="4:8" x14ac:dyDescent="0.25">
      <c r="D24" t="s">
        <v>101</v>
      </c>
      <c r="E24" s="1">
        <v>57.11</v>
      </c>
      <c r="F24" s="1">
        <v>125.053</v>
      </c>
      <c r="G24" s="1">
        <f t="shared" si="0"/>
        <v>67.942999999999998</v>
      </c>
      <c r="H24" s="1">
        <f t="shared" si="1"/>
        <v>2.189686569777622</v>
      </c>
    </row>
    <row r="25" spans="4:8" x14ac:dyDescent="0.25">
      <c r="D25" t="s">
        <v>106</v>
      </c>
      <c r="E25" s="1">
        <f>SUM(E22:E24)</f>
        <v>161.29000000000002</v>
      </c>
      <c r="F25" s="1">
        <f>SUM(F22:F24)</f>
        <v>397.94299999999998</v>
      </c>
      <c r="G25" s="1">
        <f t="shared" si="0"/>
        <v>236.65299999999996</v>
      </c>
      <c r="H25" s="1">
        <f t="shared" si="1"/>
        <v>2.4672515345030686</v>
      </c>
    </row>
    <row r="26" spans="4:8" x14ac:dyDescent="0.25">
      <c r="D26" t="s">
        <v>107</v>
      </c>
      <c r="E26" s="1">
        <f>AVERAGE(E22:E24)</f>
        <v>53.763333333333343</v>
      </c>
      <c r="F26" s="1">
        <f>AVERAGE(F22:F24)</f>
        <v>132.64766666666665</v>
      </c>
      <c r="G26" s="1">
        <f t="shared" si="0"/>
        <v>78.884333333333302</v>
      </c>
      <c r="H26" s="1">
        <f t="shared" si="1"/>
        <v>2.4672515345030681</v>
      </c>
    </row>
    <row r="27" spans="4:8" x14ac:dyDescent="0.25">
      <c r="D27" t="s">
        <v>102</v>
      </c>
      <c r="E27" s="1">
        <v>51.66</v>
      </c>
      <c r="F27" s="1">
        <v>127.59</v>
      </c>
      <c r="G27" s="1">
        <f t="shared" si="0"/>
        <v>75.930000000000007</v>
      </c>
      <c r="H27" s="1">
        <f t="shared" si="1"/>
        <v>2.4698025551684091</v>
      </c>
    </row>
    <row r="28" spans="4:8" x14ac:dyDescent="0.25">
      <c r="D28" t="s">
        <v>103</v>
      </c>
      <c r="E28" s="1">
        <v>47.15</v>
      </c>
      <c r="F28" s="1">
        <v>97.62</v>
      </c>
      <c r="G28" s="1">
        <f t="shared" si="0"/>
        <v>50.470000000000006</v>
      </c>
      <c r="H28" s="1">
        <f t="shared" si="1"/>
        <v>2.0704135737009546</v>
      </c>
    </row>
    <row r="29" spans="4:8" x14ac:dyDescent="0.25">
      <c r="D29" t="s">
        <v>104</v>
      </c>
      <c r="E29" s="1">
        <v>36.31</v>
      </c>
      <c r="F29" s="1">
        <v>85.76</v>
      </c>
      <c r="G29" s="1">
        <f t="shared" si="0"/>
        <v>49.45</v>
      </c>
      <c r="H29" s="1">
        <f t="shared" si="1"/>
        <v>2.3618837785733957</v>
      </c>
    </row>
    <row r="30" spans="4:8" x14ac:dyDescent="0.25">
      <c r="D30" t="s">
        <v>106</v>
      </c>
      <c r="E30" s="1">
        <f>SUM(E27:E29)</f>
        <v>135.12</v>
      </c>
      <c r="F30" s="1">
        <f>SUM(F27:F29)</f>
        <v>310.97000000000003</v>
      </c>
      <c r="G30" s="1">
        <f t="shared" si="0"/>
        <v>175.85000000000002</v>
      </c>
      <c r="H30" s="1">
        <f t="shared" si="1"/>
        <v>2.3014357608052105</v>
      </c>
    </row>
    <row r="31" spans="4:8" x14ac:dyDescent="0.25">
      <c r="D31" t="s">
        <v>107</v>
      </c>
      <c r="E31" s="1">
        <f>AVERAGE(E27:E29)</f>
        <v>45.04</v>
      </c>
      <c r="F31" s="1">
        <f>AVERAGE(F27:F29)</f>
        <v>103.65666666666668</v>
      </c>
      <c r="G31" s="1">
        <f t="shared" si="0"/>
        <v>58.616666666666681</v>
      </c>
      <c r="H31" s="1">
        <f t="shared" si="1"/>
        <v>2.3014357608052105</v>
      </c>
    </row>
    <row r="33" spans="4:20" x14ac:dyDescent="0.25">
      <c r="E33" t="s">
        <v>106</v>
      </c>
      <c r="G33" t="s">
        <v>109</v>
      </c>
      <c r="H33" t="s">
        <v>111</v>
      </c>
      <c r="J33" s="1" t="s">
        <v>109</v>
      </c>
    </row>
    <row r="34" spans="4:20" x14ac:dyDescent="0.25">
      <c r="E34" t="s">
        <v>56</v>
      </c>
      <c r="F34" t="s">
        <v>55</v>
      </c>
      <c r="G34" s="1" t="s">
        <v>113</v>
      </c>
      <c r="H34" t="s">
        <v>56</v>
      </c>
      <c r="I34" t="s">
        <v>55</v>
      </c>
      <c r="J34" s="1" t="s">
        <v>113</v>
      </c>
    </row>
    <row r="35" spans="4:20" x14ac:dyDescent="0.25">
      <c r="D35" t="s">
        <v>63</v>
      </c>
      <c r="E35" s="1">
        <f>E12</f>
        <v>68.199999999999989</v>
      </c>
      <c r="F35" s="1">
        <f>F12</f>
        <v>144.51999999999998</v>
      </c>
      <c r="G35" s="1">
        <f>F35-E35</f>
        <v>76.319999999999993</v>
      </c>
      <c r="H35" s="1">
        <f>E35/3</f>
        <v>22.733333333333331</v>
      </c>
      <c r="I35" s="1">
        <f>F35/3</f>
        <v>48.173333333333325</v>
      </c>
      <c r="J35" s="1">
        <f>I35-H35</f>
        <v>25.439999999999994</v>
      </c>
    </row>
    <row r="36" spans="4:20" x14ac:dyDescent="0.25">
      <c r="D36" t="s">
        <v>52</v>
      </c>
      <c r="E36" s="1">
        <f>E20</f>
        <v>194.2</v>
      </c>
      <c r="F36" s="1">
        <f>F20</f>
        <v>916.37919999999997</v>
      </c>
      <c r="G36" s="1">
        <f t="shared" ref="G36:G39" si="2">F36-E36</f>
        <v>722.17920000000004</v>
      </c>
      <c r="H36" s="1">
        <f>E36/6</f>
        <v>32.366666666666667</v>
      </c>
      <c r="I36" s="1">
        <f>F36/6</f>
        <v>152.72986666666665</v>
      </c>
      <c r="J36" s="1">
        <f t="shared" ref="J36:J40" si="3">I36-H36</f>
        <v>120.36319999999998</v>
      </c>
    </row>
    <row r="37" spans="4:20" x14ac:dyDescent="0.25">
      <c r="D37" t="s">
        <v>64</v>
      </c>
      <c r="E37" s="1">
        <f>E25</f>
        <v>161.29000000000002</v>
      </c>
      <c r="F37" s="1">
        <f>F25</f>
        <v>397.94299999999998</v>
      </c>
      <c r="G37" s="1">
        <f t="shared" si="2"/>
        <v>236.65299999999996</v>
      </c>
      <c r="H37" s="1">
        <f>E37/3</f>
        <v>53.763333333333343</v>
      </c>
      <c r="I37" s="1">
        <f>F37/3</f>
        <v>132.64766666666665</v>
      </c>
      <c r="J37" s="1">
        <f t="shared" si="3"/>
        <v>78.884333333333302</v>
      </c>
    </row>
    <row r="38" spans="4:20" x14ac:dyDescent="0.25">
      <c r="D38" t="s">
        <v>53</v>
      </c>
      <c r="E38" s="1">
        <f>E30</f>
        <v>135.12</v>
      </c>
      <c r="F38" s="1">
        <f>F30</f>
        <v>310.97000000000003</v>
      </c>
      <c r="G38" s="1">
        <f t="shared" si="2"/>
        <v>175.85000000000002</v>
      </c>
      <c r="H38" s="1">
        <f>E38/3</f>
        <v>45.04</v>
      </c>
      <c r="I38" s="1">
        <f>F38/3</f>
        <v>103.65666666666668</v>
      </c>
      <c r="J38" s="1">
        <f t="shared" si="3"/>
        <v>58.616666666666681</v>
      </c>
    </row>
    <row r="39" spans="4:20" x14ac:dyDescent="0.25">
      <c r="D39" t="s">
        <v>35</v>
      </c>
      <c r="E39" s="1">
        <f>SUM(E35:E38)</f>
        <v>558.80999999999995</v>
      </c>
      <c r="F39" s="1">
        <f>SUM(F35:F38)</f>
        <v>1769.8121999999998</v>
      </c>
      <c r="G39" s="1">
        <f t="shared" si="2"/>
        <v>1211.0021999999999</v>
      </c>
      <c r="H39" s="1">
        <f>E39/15</f>
        <v>37.253999999999998</v>
      </c>
      <c r="I39" s="1">
        <f>F39/15</f>
        <v>117.98747999999999</v>
      </c>
      <c r="J39" s="1">
        <f t="shared" si="3"/>
        <v>80.733479999999986</v>
      </c>
    </row>
    <row r="40" spans="4:20" x14ac:dyDescent="0.25">
      <c r="D40" t="s">
        <v>112</v>
      </c>
      <c r="E40" s="1">
        <f>SUM(E36:E38)</f>
        <v>490.61</v>
      </c>
      <c r="F40" s="1">
        <f>SUM(F36:F38)</f>
        <v>1625.2922000000001</v>
      </c>
      <c r="G40" s="1">
        <f t="shared" ref="G40" si="4">F40-E40</f>
        <v>1134.6822000000002</v>
      </c>
      <c r="H40" s="1">
        <f>E40/12</f>
        <v>40.884166666666665</v>
      </c>
      <c r="I40" s="1">
        <f>F40/12</f>
        <v>135.44101666666668</v>
      </c>
      <c r="J40" s="1">
        <f t="shared" si="3"/>
        <v>94.556850000000026</v>
      </c>
    </row>
    <row r="41" spans="4:20" x14ac:dyDescent="0.25">
      <c r="E41" s="1"/>
      <c r="F41" s="1"/>
      <c r="G41" s="1"/>
      <c r="H41" s="1"/>
      <c r="I41" s="1"/>
      <c r="J41" s="1"/>
    </row>
    <row r="42" spans="4:20" x14ac:dyDescent="0.25">
      <c r="E42" s="1" t="s">
        <v>106</v>
      </c>
      <c r="F42" s="1"/>
      <c r="G42" s="1" t="s">
        <v>109</v>
      </c>
      <c r="H42" s="1" t="s">
        <v>111</v>
      </c>
      <c r="I42" s="1"/>
      <c r="J42" s="1" t="s">
        <v>109</v>
      </c>
    </row>
    <row r="43" spans="4:20" x14ac:dyDescent="0.25">
      <c r="E43" s="1" t="s">
        <v>56</v>
      </c>
      <c r="F43" s="1" t="s">
        <v>55</v>
      </c>
      <c r="G43" s="1" t="s">
        <v>113</v>
      </c>
      <c r="H43" s="1" t="s">
        <v>56</v>
      </c>
      <c r="I43" s="1" t="s">
        <v>55</v>
      </c>
      <c r="J43" s="1" t="s">
        <v>113</v>
      </c>
    </row>
    <row r="44" spans="4:20" x14ac:dyDescent="0.25">
      <c r="D44" t="s">
        <v>63</v>
      </c>
      <c r="E44" s="1">
        <f>H44*3</f>
        <v>36.163800000000002</v>
      </c>
      <c r="F44" s="1">
        <f>I44*3</f>
        <v>95.628900000000002</v>
      </c>
      <c r="G44" s="1">
        <f>F44-E44</f>
        <v>59.4651</v>
      </c>
      <c r="H44" s="1">
        <v>12.054600000000001</v>
      </c>
      <c r="I44" s="1">
        <v>31.876300000000001</v>
      </c>
      <c r="J44" s="1">
        <f>I44-H44</f>
        <v>19.8217</v>
      </c>
      <c r="M44" s="111">
        <v>92983</v>
      </c>
      <c r="N44" s="111">
        <v>133705</v>
      </c>
      <c r="O44" s="111">
        <v>217826</v>
      </c>
      <c r="P44" s="111">
        <v>613022</v>
      </c>
      <c r="Q44" s="111">
        <v>301184</v>
      </c>
      <c r="R44" s="111">
        <v>320932</v>
      </c>
      <c r="S44" s="111">
        <v>174871</v>
      </c>
      <c r="T44" s="111">
        <v>285067</v>
      </c>
    </row>
    <row r="45" spans="4:20" x14ac:dyDescent="0.25">
      <c r="D45" t="s">
        <v>52</v>
      </c>
      <c r="E45" s="1">
        <f>H45*6</f>
        <v>36.025799999999997</v>
      </c>
      <c r="F45" s="1">
        <f>I45*6</f>
        <v>522.24480000000005</v>
      </c>
      <c r="G45" s="1">
        <f t="shared" ref="G45:G49" si="5">F45-E45</f>
        <v>486.21900000000005</v>
      </c>
      <c r="H45" s="1">
        <v>6.0042999999999997</v>
      </c>
      <c r="I45" s="1">
        <v>87.040800000000004</v>
      </c>
      <c r="J45" s="1">
        <f t="shared" ref="J45:J49" si="6">I45-H45</f>
        <v>81.036500000000004</v>
      </c>
      <c r="M45">
        <f>M44/10000</f>
        <v>9.2982999999999993</v>
      </c>
      <c r="N45">
        <f t="shared" ref="N45" si="7">N44/10000</f>
        <v>13.3705</v>
      </c>
    </row>
    <row r="46" spans="4:20" x14ac:dyDescent="0.25">
      <c r="D46" t="s">
        <v>64</v>
      </c>
      <c r="E46" s="1">
        <f>H46*3</f>
        <v>40.091999999999999</v>
      </c>
      <c r="F46" s="1">
        <f>I46*3</f>
        <v>299.23050000000001</v>
      </c>
      <c r="G46" s="1">
        <f t="shared" si="5"/>
        <v>259.13850000000002</v>
      </c>
      <c r="H46" s="1">
        <v>13.364000000000001</v>
      </c>
      <c r="I46" s="1">
        <v>99.743499999999997</v>
      </c>
      <c r="J46" s="1">
        <f t="shared" si="6"/>
        <v>86.379499999999993</v>
      </c>
      <c r="M46">
        <f>O44/10000</f>
        <v>21.782599999999999</v>
      </c>
      <c r="N46">
        <f>P44/10000</f>
        <v>61.302199999999999</v>
      </c>
    </row>
    <row r="47" spans="4:20" x14ac:dyDescent="0.25">
      <c r="D47" t="s">
        <v>53</v>
      </c>
      <c r="E47" s="1">
        <f>H47*3</f>
        <v>82.797300000000007</v>
      </c>
      <c r="F47" s="1">
        <f>I47*3</f>
        <v>226.53029999999998</v>
      </c>
      <c r="G47" s="1">
        <f t="shared" si="5"/>
        <v>143.73299999999998</v>
      </c>
      <c r="H47" s="1">
        <v>27.5991</v>
      </c>
      <c r="I47" s="1">
        <v>75.510099999999994</v>
      </c>
      <c r="J47" s="1">
        <f t="shared" si="6"/>
        <v>47.910999999999994</v>
      </c>
      <c r="M47">
        <f>Q44/10000</f>
        <v>30.118400000000001</v>
      </c>
      <c r="N47">
        <f>R44/10000</f>
        <v>32.093200000000003</v>
      </c>
    </row>
    <row r="48" spans="4:20" x14ac:dyDescent="0.25">
      <c r="D48" t="s">
        <v>35</v>
      </c>
      <c r="E48" s="1">
        <f>SUM(E44:E47)</f>
        <v>195.0789</v>
      </c>
      <c r="F48" s="1">
        <f>SUM(F44:F47)</f>
        <v>1143.6345000000001</v>
      </c>
      <c r="G48" s="1">
        <f t="shared" si="5"/>
        <v>948.55560000000014</v>
      </c>
      <c r="H48" s="1">
        <f>E48/15</f>
        <v>13.00526</v>
      </c>
      <c r="I48" s="1">
        <f>F48/15</f>
        <v>76.242300000000014</v>
      </c>
      <c r="J48" s="1">
        <f t="shared" si="6"/>
        <v>63.237040000000015</v>
      </c>
      <c r="M48">
        <f>S44/10000</f>
        <v>17.487100000000002</v>
      </c>
      <c r="N48">
        <f>T44/10000</f>
        <v>28.506699999999999</v>
      </c>
    </row>
    <row r="49" spans="4:24" x14ac:dyDescent="0.25">
      <c r="D49" t="s">
        <v>112</v>
      </c>
      <c r="E49" s="1">
        <f>SUM(E45:E47)</f>
        <v>158.9151</v>
      </c>
      <c r="F49" s="1">
        <f>SUM(F45:F47)</f>
        <v>1048.0056</v>
      </c>
      <c r="G49" s="1">
        <f t="shared" si="5"/>
        <v>889.09050000000002</v>
      </c>
      <c r="H49" s="1">
        <f>E49/12</f>
        <v>13.242925</v>
      </c>
      <c r="I49" s="1">
        <f>F49/12</f>
        <v>87.333799999999997</v>
      </c>
      <c r="J49" s="1">
        <f t="shared" si="6"/>
        <v>74.090874999999997</v>
      </c>
    </row>
    <row r="50" spans="4:24" x14ac:dyDescent="0.25">
      <c r="G50" s="1"/>
      <c r="J50" s="1"/>
      <c r="M50">
        <f>M45*6</f>
        <v>55.7898</v>
      </c>
      <c r="N50">
        <f t="shared" ref="N50:N53" si="8">N45*6</f>
        <v>80.222999999999999</v>
      </c>
    </row>
    <row r="51" spans="4:24" x14ac:dyDescent="0.25">
      <c r="E51" s="1" t="s">
        <v>106</v>
      </c>
      <c r="F51" s="1"/>
      <c r="G51" s="1" t="s">
        <v>109</v>
      </c>
      <c r="H51" s="1" t="s">
        <v>111</v>
      </c>
      <c r="I51" s="1"/>
      <c r="J51" s="1" t="s">
        <v>109</v>
      </c>
      <c r="M51">
        <f t="shared" ref="M51" si="9">M46*6</f>
        <v>130.69559999999998</v>
      </c>
      <c r="N51">
        <f t="shared" si="8"/>
        <v>367.81319999999999</v>
      </c>
    </row>
    <row r="52" spans="4:24" x14ac:dyDescent="0.25">
      <c r="E52" s="1" t="s">
        <v>56</v>
      </c>
      <c r="F52" s="1" t="s">
        <v>55</v>
      </c>
      <c r="G52" s="1" t="s">
        <v>113</v>
      </c>
      <c r="H52" s="1" t="s">
        <v>56</v>
      </c>
      <c r="I52" s="1" t="s">
        <v>55</v>
      </c>
      <c r="J52" s="1" t="s">
        <v>113</v>
      </c>
      <c r="M52">
        <f t="shared" ref="M52" si="10">M47*6</f>
        <v>180.71039999999999</v>
      </c>
      <c r="N52">
        <f t="shared" si="8"/>
        <v>192.55920000000003</v>
      </c>
    </row>
    <row r="53" spans="4:24" x14ac:dyDescent="0.25">
      <c r="D53" t="s">
        <v>63</v>
      </c>
      <c r="E53" s="1">
        <f>H53*3</f>
        <v>27.8949</v>
      </c>
      <c r="F53" s="1">
        <f>I53*3</f>
        <v>40.111499999999999</v>
      </c>
      <c r="G53" s="1">
        <f>F53-E53</f>
        <v>12.2166</v>
      </c>
      <c r="H53" s="1">
        <v>9.2982999999999993</v>
      </c>
      <c r="I53" s="1">
        <v>13.3705</v>
      </c>
      <c r="J53" s="1">
        <f>I53-H53</f>
        <v>4.0722000000000005</v>
      </c>
      <c r="M53">
        <f t="shared" ref="M53" si="11">M48*6</f>
        <v>104.92260000000002</v>
      </c>
      <c r="N53">
        <f t="shared" si="8"/>
        <v>171.0402</v>
      </c>
    </row>
    <row r="54" spans="4:24" x14ac:dyDescent="0.25">
      <c r="D54" t="s">
        <v>52</v>
      </c>
      <c r="E54" s="1">
        <f>H54*6</f>
        <v>130.69559999999998</v>
      </c>
      <c r="F54" s="1">
        <f>I54*6</f>
        <v>367.81319999999999</v>
      </c>
      <c r="G54" s="1">
        <f t="shared" ref="G54:G58" si="12">F54-E54</f>
        <v>237.11760000000001</v>
      </c>
      <c r="H54" s="1">
        <v>21.782599999999999</v>
      </c>
      <c r="I54" s="1">
        <v>61.302199999999999</v>
      </c>
      <c r="J54" s="1">
        <f t="shared" ref="J54:J58" si="13">I54-H54</f>
        <v>39.519599999999997</v>
      </c>
    </row>
    <row r="55" spans="4:24" x14ac:dyDescent="0.25">
      <c r="D55" t="s">
        <v>64</v>
      </c>
      <c r="E55" s="1">
        <f>H55*3</f>
        <v>90.355199999999996</v>
      </c>
      <c r="F55" s="1">
        <f>I55*3</f>
        <v>96.279600000000016</v>
      </c>
      <c r="G55" s="1">
        <f t="shared" si="12"/>
        <v>5.9244000000000199</v>
      </c>
      <c r="H55" s="1">
        <v>30.118400000000001</v>
      </c>
      <c r="I55" s="1">
        <v>32.093200000000003</v>
      </c>
      <c r="J55" s="1">
        <f t="shared" si="13"/>
        <v>1.9748000000000019</v>
      </c>
    </row>
    <row r="56" spans="4:24" x14ac:dyDescent="0.25">
      <c r="D56" t="s">
        <v>53</v>
      </c>
      <c r="E56" s="1">
        <f>H56*3</f>
        <v>52.461300000000008</v>
      </c>
      <c r="F56" s="1">
        <f>I56*3</f>
        <v>85.520099999999999</v>
      </c>
      <c r="G56" s="1">
        <f t="shared" si="12"/>
        <v>33.058799999999991</v>
      </c>
      <c r="H56" s="1">
        <v>17.487100000000002</v>
      </c>
      <c r="I56" s="1">
        <v>28.506699999999999</v>
      </c>
      <c r="J56" s="1">
        <f t="shared" si="13"/>
        <v>11.019599999999997</v>
      </c>
    </row>
    <row r="57" spans="4:24" x14ac:dyDescent="0.25">
      <c r="D57" t="s">
        <v>35</v>
      </c>
      <c r="E57" s="1">
        <f>SUM(E53:E56)</f>
        <v>301.40699999999998</v>
      </c>
      <c r="F57" s="1">
        <f>SUM(F53:F56)</f>
        <v>589.72439999999995</v>
      </c>
      <c r="G57" s="1">
        <f t="shared" si="12"/>
        <v>288.31739999999996</v>
      </c>
      <c r="H57" s="1">
        <f>E57/15</f>
        <v>20.093799999999998</v>
      </c>
      <c r="I57" s="1">
        <f>F57/15</f>
        <v>39.314959999999999</v>
      </c>
      <c r="J57" s="1">
        <f t="shared" si="13"/>
        <v>19.221160000000001</v>
      </c>
      <c r="O57" s="111">
        <v>92983</v>
      </c>
      <c r="P57" s="111">
        <v>133705</v>
      </c>
      <c r="Q57" s="111">
        <v>217826</v>
      </c>
      <c r="R57" s="111">
        <v>613022</v>
      </c>
      <c r="S57" s="111">
        <v>301184</v>
      </c>
      <c r="T57" s="111">
        <v>320932</v>
      </c>
      <c r="U57" s="111">
        <v>174871</v>
      </c>
      <c r="V57" s="111">
        <v>285067</v>
      </c>
    </row>
    <row r="58" spans="4:24" x14ac:dyDescent="0.25">
      <c r="D58" t="s">
        <v>112</v>
      </c>
      <c r="E58" s="1">
        <f>SUM(E54:E56)</f>
        <v>273.51209999999998</v>
      </c>
      <c r="F58" s="1">
        <f>SUM(F54:F56)</f>
        <v>549.61289999999997</v>
      </c>
      <c r="G58" s="1">
        <f t="shared" si="12"/>
        <v>276.10079999999999</v>
      </c>
      <c r="H58" s="1">
        <f>E58/12</f>
        <v>22.792674999999999</v>
      </c>
      <c r="I58" s="1">
        <f>F58/12</f>
        <v>45.801074999999997</v>
      </c>
      <c r="J58" s="1">
        <f t="shared" si="13"/>
        <v>23.008399999999998</v>
      </c>
    </row>
    <row r="59" spans="4:24" x14ac:dyDescent="0.25">
      <c r="O59" s="111">
        <v>92983</v>
      </c>
      <c r="P59" s="111">
        <v>22777</v>
      </c>
      <c r="Q59">
        <v>-24.5</v>
      </c>
      <c r="R59" s="111">
        <v>70206</v>
      </c>
      <c r="S59">
        <v>-75.5</v>
      </c>
      <c r="T59" s="111">
        <v>133705</v>
      </c>
      <c r="U59" s="111">
        <v>26097</v>
      </c>
      <c r="V59">
        <v>-19.5</v>
      </c>
      <c r="W59" s="111">
        <v>107608</v>
      </c>
      <c r="X59">
        <v>-80.5</v>
      </c>
    </row>
    <row r="60" spans="4:24" x14ac:dyDescent="0.25">
      <c r="D60" t="s">
        <v>116</v>
      </c>
      <c r="E60" s="1" t="s">
        <v>106</v>
      </c>
      <c r="F60" s="1"/>
      <c r="G60" s="1" t="s">
        <v>109</v>
      </c>
      <c r="H60" s="1" t="s">
        <v>111</v>
      </c>
      <c r="I60" s="1"/>
      <c r="J60" s="1" t="s">
        <v>109</v>
      </c>
      <c r="O60" s="111">
        <v>217826</v>
      </c>
      <c r="P60" s="111">
        <v>83013</v>
      </c>
      <c r="Q60">
        <v>-38.1</v>
      </c>
      <c r="R60" s="111">
        <v>134813</v>
      </c>
      <c r="S60">
        <v>-61.9</v>
      </c>
      <c r="T60" s="111">
        <v>613022</v>
      </c>
      <c r="U60" s="111">
        <v>304859</v>
      </c>
      <c r="V60">
        <v>-49.7</v>
      </c>
      <c r="W60" s="111">
        <v>308163</v>
      </c>
      <c r="X60">
        <v>-50.3</v>
      </c>
    </row>
    <row r="61" spans="4:24" x14ac:dyDescent="0.25">
      <c r="E61" s="1" t="s">
        <v>56</v>
      </c>
      <c r="F61" s="1" t="s">
        <v>55</v>
      </c>
      <c r="G61" s="1" t="s">
        <v>113</v>
      </c>
      <c r="H61" s="1" t="s">
        <v>56</v>
      </c>
      <c r="I61" s="1" t="s">
        <v>55</v>
      </c>
      <c r="J61" s="1" t="s">
        <v>113</v>
      </c>
      <c r="O61" s="111">
        <v>301184</v>
      </c>
      <c r="P61" s="111">
        <v>239564</v>
      </c>
      <c r="Q61">
        <v>-79.5</v>
      </c>
      <c r="R61" s="111">
        <v>61620</v>
      </c>
      <c r="S61">
        <v>-20.5</v>
      </c>
      <c r="T61" s="111">
        <v>320932</v>
      </c>
      <c r="U61" s="111">
        <v>204112</v>
      </c>
      <c r="V61">
        <v>-63.6</v>
      </c>
      <c r="W61" s="111">
        <v>116820</v>
      </c>
      <c r="X61">
        <v>-36.4</v>
      </c>
    </row>
    <row r="62" spans="4:24" x14ac:dyDescent="0.25">
      <c r="D62" t="s">
        <v>63</v>
      </c>
      <c r="E62" s="1">
        <f>H62*3</f>
        <v>6.8331</v>
      </c>
      <c r="F62" s="1">
        <f>I62*3</f>
        <v>7.8291000000000004</v>
      </c>
      <c r="G62" s="1">
        <f>F62-E62</f>
        <v>0.99600000000000044</v>
      </c>
      <c r="H62" s="1">
        <v>2.2776999999999998</v>
      </c>
      <c r="I62" s="1">
        <v>2.6097000000000001</v>
      </c>
      <c r="J62" s="1">
        <f>I62-H62</f>
        <v>0.33200000000000029</v>
      </c>
      <c r="O62" s="111">
        <v>174871</v>
      </c>
      <c r="P62" s="111">
        <v>142702</v>
      </c>
      <c r="Q62">
        <v>-81.599999999999994</v>
      </c>
      <c r="R62" s="111">
        <v>32169</v>
      </c>
      <c r="S62">
        <v>-18.399999999999999</v>
      </c>
      <c r="T62" s="111">
        <v>285067</v>
      </c>
      <c r="U62" s="111">
        <v>230103</v>
      </c>
      <c r="V62">
        <v>-80.7</v>
      </c>
      <c r="W62" s="111">
        <v>54964</v>
      </c>
      <c r="X62">
        <v>-19.3</v>
      </c>
    </row>
    <row r="63" spans="4:24" x14ac:dyDescent="0.25">
      <c r="D63" t="s">
        <v>52</v>
      </c>
      <c r="E63" s="1">
        <f>H63*6</f>
        <v>49.8078</v>
      </c>
      <c r="F63" s="1">
        <f>I63*6</f>
        <v>182.91540000000001</v>
      </c>
      <c r="G63" s="1">
        <f t="shared" ref="G63:G67" si="14">F63-E63</f>
        <v>133.10759999999999</v>
      </c>
      <c r="H63" s="1">
        <v>8.3012999999999995</v>
      </c>
      <c r="I63" s="1">
        <v>30.485900000000001</v>
      </c>
      <c r="J63" s="1">
        <f t="shared" ref="J63:J67" si="15">I63-H63</f>
        <v>22.184600000000003</v>
      </c>
    </row>
    <row r="64" spans="4:24" x14ac:dyDescent="0.25">
      <c r="D64" t="s">
        <v>64</v>
      </c>
      <c r="E64" s="1">
        <f>H64*3</f>
        <v>71.869199999999992</v>
      </c>
      <c r="F64" s="1">
        <f>I64*3</f>
        <v>61.233600000000003</v>
      </c>
      <c r="G64" s="1">
        <f t="shared" si="14"/>
        <v>-10.63559999999999</v>
      </c>
      <c r="H64" s="1">
        <v>23.956399999999999</v>
      </c>
      <c r="I64" s="1">
        <v>20.411200000000001</v>
      </c>
      <c r="J64" s="1">
        <f t="shared" si="15"/>
        <v>-3.5451999999999977</v>
      </c>
      <c r="O64" t="s">
        <v>114</v>
      </c>
      <c r="P64" t="s">
        <v>116</v>
      </c>
      <c r="Q64" t="s">
        <v>115</v>
      </c>
      <c r="R64" t="s">
        <v>114</v>
      </c>
      <c r="S64" t="s">
        <v>116</v>
      </c>
      <c r="T64" t="s">
        <v>115</v>
      </c>
    </row>
    <row r="65" spans="4:20" x14ac:dyDescent="0.25">
      <c r="D65" t="s">
        <v>53</v>
      </c>
      <c r="E65" s="1">
        <f>H65*3</f>
        <v>42.810600000000001</v>
      </c>
      <c r="F65" s="1">
        <f>I65*3</f>
        <v>69.030900000000003</v>
      </c>
      <c r="G65" s="1">
        <f t="shared" si="14"/>
        <v>26.220300000000002</v>
      </c>
      <c r="H65" s="1">
        <v>14.270200000000001</v>
      </c>
      <c r="I65" s="1">
        <v>23.010300000000001</v>
      </c>
      <c r="J65" s="1">
        <f t="shared" si="15"/>
        <v>8.7401</v>
      </c>
      <c r="N65" t="s">
        <v>63</v>
      </c>
      <c r="O65" s="111">
        <f t="shared" ref="O65:P68" si="16">O59</f>
        <v>92983</v>
      </c>
      <c r="P65" s="111">
        <f t="shared" si="16"/>
        <v>22777</v>
      </c>
      <c r="Q65" s="111">
        <f>R59</f>
        <v>70206</v>
      </c>
      <c r="R65" s="111">
        <f t="shared" ref="R65:S68" si="17">T59</f>
        <v>133705</v>
      </c>
      <c r="S65" s="111">
        <f t="shared" si="17"/>
        <v>26097</v>
      </c>
      <c r="T65" s="111">
        <f>W59</f>
        <v>107608</v>
      </c>
    </row>
    <row r="66" spans="4:20" x14ac:dyDescent="0.25">
      <c r="D66" t="s">
        <v>35</v>
      </c>
      <c r="E66" s="1">
        <f>SUM(E62:E65)</f>
        <v>171.32069999999999</v>
      </c>
      <c r="F66" s="1">
        <f>SUM(F62:F65)</f>
        <v>321.00900000000001</v>
      </c>
      <c r="G66" s="1">
        <f t="shared" si="14"/>
        <v>149.68830000000003</v>
      </c>
      <c r="H66" s="1">
        <f>E66/15</f>
        <v>11.421379999999999</v>
      </c>
      <c r="I66" s="1">
        <f>F66/15</f>
        <v>21.400600000000001</v>
      </c>
      <c r="J66" s="1">
        <f t="shared" si="15"/>
        <v>9.9792200000000015</v>
      </c>
      <c r="N66" t="s">
        <v>52</v>
      </c>
      <c r="O66" s="111">
        <f t="shared" si="16"/>
        <v>217826</v>
      </c>
      <c r="P66" s="111">
        <f t="shared" si="16"/>
        <v>83013</v>
      </c>
      <c r="Q66" s="111">
        <f>R60</f>
        <v>134813</v>
      </c>
      <c r="R66" s="111">
        <f t="shared" si="17"/>
        <v>613022</v>
      </c>
      <c r="S66" s="111">
        <f t="shared" si="17"/>
        <v>304859</v>
      </c>
      <c r="T66" s="111">
        <f>W60</f>
        <v>308163</v>
      </c>
    </row>
    <row r="67" spans="4:20" x14ac:dyDescent="0.25">
      <c r="D67" t="s">
        <v>112</v>
      </c>
      <c r="E67" s="1">
        <f>SUM(E63:E65)</f>
        <v>164.48759999999999</v>
      </c>
      <c r="F67" s="1">
        <f>SUM(F63:F65)</f>
        <v>313.17989999999998</v>
      </c>
      <c r="G67" s="1">
        <f t="shared" si="14"/>
        <v>148.69229999999999</v>
      </c>
      <c r="H67" s="1">
        <f>E67/12</f>
        <v>13.707299999999998</v>
      </c>
      <c r="I67" s="1">
        <f>F67/12</f>
        <v>26.098324999999999</v>
      </c>
      <c r="J67" s="1">
        <f t="shared" si="15"/>
        <v>12.391025000000001</v>
      </c>
      <c r="N67" t="s">
        <v>64</v>
      </c>
      <c r="O67" s="111">
        <f t="shared" si="16"/>
        <v>301184</v>
      </c>
      <c r="P67" s="111">
        <f t="shared" si="16"/>
        <v>239564</v>
      </c>
      <c r="Q67" s="111">
        <f>R61</f>
        <v>61620</v>
      </c>
      <c r="R67" s="111">
        <f t="shared" si="17"/>
        <v>320932</v>
      </c>
      <c r="S67" s="111">
        <f t="shared" si="17"/>
        <v>204112</v>
      </c>
      <c r="T67" s="111">
        <f>W61</f>
        <v>116820</v>
      </c>
    </row>
    <row r="68" spans="4:20" x14ac:dyDescent="0.25">
      <c r="N68" t="s">
        <v>53</v>
      </c>
      <c r="O68" s="111">
        <f t="shared" si="16"/>
        <v>174871</v>
      </c>
      <c r="P68" s="111">
        <f t="shared" si="16"/>
        <v>142702</v>
      </c>
      <c r="Q68" s="111">
        <f>R62</f>
        <v>32169</v>
      </c>
      <c r="R68" s="111">
        <f t="shared" si="17"/>
        <v>285067</v>
      </c>
      <c r="S68" s="111">
        <f t="shared" si="17"/>
        <v>230103</v>
      </c>
      <c r="T68" s="111">
        <f>W62</f>
        <v>54964</v>
      </c>
    </row>
    <row r="69" spans="4:20" x14ac:dyDescent="0.25">
      <c r="D69" t="s">
        <v>72</v>
      </c>
      <c r="E69" s="1" t="s">
        <v>106</v>
      </c>
      <c r="F69" s="1"/>
      <c r="G69" s="1" t="s">
        <v>109</v>
      </c>
      <c r="H69" s="1" t="s">
        <v>111</v>
      </c>
      <c r="I69" s="1"/>
      <c r="J69" s="1" t="s">
        <v>109</v>
      </c>
      <c r="O69" s="111">
        <f>O65/10000</f>
        <v>9.2982999999999993</v>
      </c>
      <c r="P69" s="111">
        <f t="shared" ref="P69:T69" si="18">P65/10000</f>
        <v>2.2776999999999998</v>
      </c>
      <c r="Q69" s="111">
        <f t="shared" si="18"/>
        <v>7.0206</v>
      </c>
      <c r="R69" s="111">
        <f t="shared" si="18"/>
        <v>13.3705</v>
      </c>
      <c r="S69" s="111">
        <f t="shared" si="18"/>
        <v>2.6097000000000001</v>
      </c>
      <c r="T69" s="111">
        <f t="shared" si="18"/>
        <v>10.7608</v>
      </c>
    </row>
    <row r="70" spans="4:20" x14ac:dyDescent="0.25">
      <c r="E70" s="1" t="s">
        <v>56</v>
      </c>
      <c r="F70" s="1" t="s">
        <v>55</v>
      </c>
      <c r="G70" s="1" t="s">
        <v>113</v>
      </c>
      <c r="H70" s="1" t="s">
        <v>56</v>
      </c>
      <c r="I70" s="1" t="s">
        <v>55</v>
      </c>
      <c r="J70" s="1" t="s">
        <v>113</v>
      </c>
      <c r="O70" s="111">
        <f t="shared" ref="O70:T70" si="19">O66/10000</f>
        <v>21.782599999999999</v>
      </c>
      <c r="P70" s="111">
        <f t="shared" si="19"/>
        <v>8.3012999999999995</v>
      </c>
      <c r="Q70" s="111">
        <f t="shared" si="19"/>
        <v>13.481299999999999</v>
      </c>
      <c r="R70" s="111">
        <f t="shared" si="19"/>
        <v>61.302199999999999</v>
      </c>
      <c r="S70" s="111">
        <f t="shared" si="19"/>
        <v>30.485900000000001</v>
      </c>
      <c r="T70" s="111">
        <f t="shared" si="19"/>
        <v>30.816299999999998</v>
      </c>
    </row>
    <row r="71" spans="4:20" x14ac:dyDescent="0.25">
      <c r="D71" t="s">
        <v>63</v>
      </c>
      <c r="E71" s="1">
        <f>H71*3</f>
        <v>21.061799999999998</v>
      </c>
      <c r="F71" s="1">
        <f>I71*3</f>
        <v>32.282399999999996</v>
      </c>
      <c r="G71" s="1">
        <f>F71-E71</f>
        <v>11.220599999999997</v>
      </c>
      <c r="H71" s="1">
        <v>7.0206</v>
      </c>
      <c r="I71" s="1">
        <v>10.7608</v>
      </c>
      <c r="J71" s="1">
        <f>I71-H71</f>
        <v>3.7401999999999997</v>
      </c>
      <c r="O71" s="111">
        <f t="shared" ref="O71:T71" si="20">O67/10000</f>
        <v>30.118400000000001</v>
      </c>
      <c r="P71" s="111">
        <f t="shared" si="20"/>
        <v>23.956399999999999</v>
      </c>
      <c r="Q71" s="111">
        <f t="shared" si="20"/>
        <v>6.1619999999999999</v>
      </c>
      <c r="R71" s="111">
        <f t="shared" si="20"/>
        <v>32.093200000000003</v>
      </c>
      <c r="S71" s="111">
        <f t="shared" si="20"/>
        <v>20.411200000000001</v>
      </c>
      <c r="T71" s="111">
        <f t="shared" si="20"/>
        <v>11.682</v>
      </c>
    </row>
    <row r="72" spans="4:20" x14ac:dyDescent="0.25">
      <c r="D72" t="s">
        <v>52</v>
      </c>
      <c r="E72" s="1">
        <f>H72*6</f>
        <v>80.887799999999999</v>
      </c>
      <c r="F72" s="1">
        <f>I72*6</f>
        <v>184.89779999999999</v>
      </c>
      <c r="G72" s="1">
        <f t="shared" ref="G72:G76" si="21">F72-E72</f>
        <v>104.00999999999999</v>
      </c>
      <c r="H72" s="1">
        <v>13.481299999999999</v>
      </c>
      <c r="I72" s="1">
        <v>30.816299999999998</v>
      </c>
      <c r="J72" s="1">
        <f t="shared" ref="J72:J76" si="22">I72-H72</f>
        <v>17.335000000000001</v>
      </c>
      <c r="O72" s="111">
        <f t="shared" ref="O72:T72" si="23">O68/10000</f>
        <v>17.487100000000002</v>
      </c>
      <c r="P72" s="111">
        <f t="shared" si="23"/>
        <v>14.270200000000001</v>
      </c>
      <c r="Q72" s="111">
        <f t="shared" si="23"/>
        <v>3.2168999999999999</v>
      </c>
      <c r="R72" s="111">
        <f t="shared" si="23"/>
        <v>28.506699999999999</v>
      </c>
      <c r="S72" s="111">
        <f t="shared" si="23"/>
        <v>23.010300000000001</v>
      </c>
      <c r="T72" s="111">
        <f t="shared" si="23"/>
        <v>5.4964000000000004</v>
      </c>
    </row>
    <row r="73" spans="4:20" x14ac:dyDescent="0.25">
      <c r="D73" t="s">
        <v>64</v>
      </c>
      <c r="E73" s="1">
        <f>H73*3</f>
        <v>18.486000000000001</v>
      </c>
      <c r="F73" s="1">
        <f>I73*3</f>
        <v>35.045999999999999</v>
      </c>
      <c r="G73" s="1">
        <f t="shared" si="21"/>
        <v>16.559999999999999</v>
      </c>
      <c r="H73" s="1">
        <v>6.1619999999999999</v>
      </c>
      <c r="I73" s="1">
        <v>11.682</v>
      </c>
      <c r="J73" s="1">
        <f t="shared" si="22"/>
        <v>5.5200000000000005</v>
      </c>
      <c r="O73" s="111"/>
      <c r="P73" s="111"/>
      <c r="Q73" s="111"/>
      <c r="R73" s="111"/>
      <c r="S73" s="111"/>
      <c r="T73" s="111"/>
    </row>
    <row r="74" spans="4:20" x14ac:dyDescent="0.25">
      <c r="D74" t="s">
        <v>53</v>
      </c>
      <c r="E74" s="1">
        <f>H74*3</f>
        <v>9.6507000000000005</v>
      </c>
      <c r="F74" s="1">
        <f>I74*3</f>
        <v>16.4892</v>
      </c>
      <c r="G74" s="1">
        <f t="shared" si="21"/>
        <v>6.8384999999999998</v>
      </c>
      <c r="H74" s="1">
        <v>3.2168999999999999</v>
      </c>
      <c r="I74" s="1">
        <v>5.4964000000000004</v>
      </c>
      <c r="J74" s="1">
        <f t="shared" si="22"/>
        <v>2.2795000000000005</v>
      </c>
    </row>
    <row r="75" spans="4:20" x14ac:dyDescent="0.25">
      <c r="D75" t="s">
        <v>35</v>
      </c>
      <c r="E75" s="1">
        <f>SUM(E71:E74)</f>
        <v>130.08629999999999</v>
      </c>
      <c r="F75" s="1">
        <f>SUM(F71:F74)</f>
        <v>268.71539999999999</v>
      </c>
      <c r="G75" s="1">
        <f t="shared" si="21"/>
        <v>138.62909999999999</v>
      </c>
      <c r="H75" s="1">
        <f>E75/15</f>
        <v>8.6724199999999989</v>
      </c>
      <c r="I75" s="1">
        <f>F75/15</f>
        <v>17.914359999999999</v>
      </c>
      <c r="J75" s="1">
        <f t="shared" si="22"/>
        <v>9.2419399999999996</v>
      </c>
    </row>
    <row r="76" spans="4:20" x14ac:dyDescent="0.25">
      <c r="D76" t="s">
        <v>112</v>
      </c>
      <c r="E76" s="1">
        <f>SUM(E72:E74)</f>
        <v>109.0245</v>
      </c>
      <c r="F76" s="1">
        <f>SUM(F72:F74)</f>
        <v>236.43299999999999</v>
      </c>
      <c r="G76" s="1">
        <f t="shared" si="21"/>
        <v>127.40849999999999</v>
      </c>
      <c r="H76" s="1">
        <f>E76/12</f>
        <v>9.0853750000000009</v>
      </c>
      <c r="I76" s="1">
        <f>F76/12</f>
        <v>19.702749999999998</v>
      </c>
      <c r="J76" s="1">
        <f t="shared" si="22"/>
        <v>10.617374999999997</v>
      </c>
    </row>
  </sheetData>
  <phoneticPr fontId="2"/>
  <pageMargins left="0.7" right="0.7" top="0.75" bottom="0.75" header="0.3" footer="0.3"/>
  <pageSetup paperSize="8"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1" tint="0.34998626667073579"/>
  </sheetPr>
  <dimension ref="A1"/>
  <sheetViews>
    <sheetView zoomScale="85" zoomScaleNormal="85" workbookViewId="0">
      <selection activeCell="P56" sqref="P56"/>
    </sheetView>
  </sheetViews>
  <sheetFormatPr defaultRowHeight="14.25" x14ac:dyDescent="0.25"/>
  <sheetData/>
  <phoneticPr fontId="2"/>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1" tint="0.34998626667073579"/>
  </sheetPr>
  <dimension ref="A3:V55"/>
  <sheetViews>
    <sheetView zoomScale="85" zoomScaleNormal="85" workbookViewId="0">
      <selection activeCell="P56" sqref="P56"/>
    </sheetView>
  </sheetViews>
  <sheetFormatPr defaultRowHeight="14.25" x14ac:dyDescent="0.25"/>
  <cols>
    <col min="2" max="2" width="5.375" bestFit="1" customWidth="1"/>
    <col min="3" max="3" width="6.25" bestFit="1" customWidth="1"/>
    <col min="4" max="4" width="8.75" bestFit="1" customWidth="1"/>
    <col min="5" max="6" width="7" style="1" bestFit="1" customWidth="1"/>
    <col min="7" max="7" width="9.5" style="1" bestFit="1" customWidth="1"/>
    <col min="8" max="8" width="5.375" style="1" bestFit="1" customWidth="1"/>
    <col min="9" max="9" width="6.25" style="1" bestFit="1" customWidth="1"/>
    <col min="10" max="10" width="7" style="1" bestFit="1" customWidth="1"/>
    <col min="11" max="11" width="6.25" style="1" bestFit="1" customWidth="1"/>
    <col min="12" max="12" width="7" style="1" bestFit="1" customWidth="1"/>
    <col min="13" max="13" width="10.125" style="1" customWidth="1"/>
    <col min="14" max="14" width="10.125" style="1" bestFit="1" customWidth="1"/>
  </cols>
  <sheetData>
    <row r="3" spans="1:22" x14ac:dyDescent="0.25">
      <c r="A3" t="s">
        <v>118</v>
      </c>
    </row>
    <row r="5" spans="1:22" x14ac:dyDescent="0.25">
      <c r="B5" s="384" t="s">
        <v>142</v>
      </c>
      <c r="C5" s="385"/>
      <c r="D5" s="386"/>
      <c r="E5" s="113" t="s">
        <v>137</v>
      </c>
      <c r="F5" s="113" t="s">
        <v>138</v>
      </c>
      <c r="G5" s="113" t="s">
        <v>139</v>
      </c>
      <c r="H5" s="113" t="s">
        <v>35</v>
      </c>
      <c r="I5" s="113" t="s">
        <v>136</v>
      </c>
      <c r="J5" s="113" t="s">
        <v>145</v>
      </c>
      <c r="K5" s="113" t="s">
        <v>144</v>
      </c>
      <c r="L5" s="113" t="s">
        <v>145</v>
      </c>
      <c r="M5" s="114"/>
      <c r="N5"/>
      <c r="O5" s="1"/>
      <c r="P5" s="1"/>
      <c r="Q5" s="1"/>
      <c r="R5" s="1"/>
      <c r="S5" s="1"/>
      <c r="T5" s="1"/>
      <c r="U5" s="1"/>
      <c r="V5" s="1" t="s">
        <v>35</v>
      </c>
    </row>
    <row r="6" spans="1:22" x14ac:dyDescent="0.25">
      <c r="B6" s="384" t="s">
        <v>119</v>
      </c>
      <c r="C6" s="385"/>
      <c r="D6" s="386"/>
      <c r="E6" s="112">
        <f t="shared" ref="E6:E25" si="0">P6/10000</f>
        <v>53.58</v>
      </c>
      <c r="F6" s="112">
        <f t="shared" ref="F6:F25" si="1">R6/10000</f>
        <v>28.2</v>
      </c>
      <c r="G6" s="112">
        <f t="shared" ref="G6:G25" si="2">T6/10000</f>
        <v>0</v>
      </c>
      <c r="H6" s="112">
        <f t="shared" ref="H6:H25" si="3">V6/10000</f>
        <v>81.78</v>
      </c>
      <c r="I6" s="112">
        <f>F6+E6*4+G6*4</f>
        <v>242.51999999999998</v>
      </c>
      <c r="J6" s="112">
        <f>I6-I$6</f>
        <v>0</v>
      </c>
      <c r="K6" s="112">
        <f>E6*6+F6*2</f>
        <v>377.88</v>
      </c>
      <c r="L6" s="112">
        <f>K6-K$6</f>
        <v>0</v>
      </c>
      <c r="M6" s="3"/>
      <c r="N6" t="s">
        <v>119</v>
      </c>
      <c r="O6" s="1"/>
      <c r="P6" s="1">
        <v>535800</v>
      </c>
      <c r="Q6" s="1"/>
      <c r="R6" s="1">
        <v>282000</v>
      </c>
      <c r="S6" s="1"/>
      <c r="T6" s="1"/>
      <c r="U6" s="1"/>
      <c r="V6" s="1">
        <f>P6+R6+T6</f>
        <v>817800</v>
      </c>
    </row>
    <row r="7" spans="1:22" x14ac:dyDescent="0.25">
      <c r="B7" s="384" t="s">
        <v>120</v>
      </c>
      <c r="C7" s="385"/>
      <c r="D7" s="386"/>
      <c r="E7" s="112">
        <f t="shared" si="0"/>
        <v>53.863300000000002</v>
      </c>
      <c r="F7" s="112">
        <f t="shared" si="1"/>
        <v>39.361800000000002</v>
      </c>
      <c r="G7" s="112">
        <f t="shared" si="2"/>
        <v>0</v>
      </c>
      <c r="H7" s="112">
        <f t="shared" si="3"/>
        <v>93.225099999999998</v>
      </c>
      <c r="I7" s="112">
        <f t="shared" ref="I7:I25" si="4">F7+E7*4+G7*4</f>
        <v>254.815</v>
      </c>
      <c r="J7" s="112">
        <f t="shared" ref="J7:L25" si="5">I7-I$6</f>
        <v>12.295000000000016</v>
      </c>
      <c r="K7" s="112">
        <f t="shared" ref="K7:K25" si="6">E7*6+F7*2</f>
        <v>401.90340000000003</v>
      </c>
      <c r="L7" s="112">
        <f t="shared" si="5"/>
        <v>24.023400000000038</v>
      </c>
      <c r="M7" s="3"/>
      <c r="N7" t="s">
        <v>120</v>
      </c>
      <c r="O7" s="1"/>
      <c r="P7" s="1">
        <v>538633</v>
      </c>
      <c r="Q7" s="1"/>
      <c r="R7" s="1">
        <v>393618</v>
      </c>
      <c r="S7" s="1"/>
      <c r="T7" s="1"/>
      <c r="U7" s="1"/>
      <c r="V7" s="1">
        <f>P7+R7+T7</f>
        <v>932251</v>
      </c>
    </row>
    <row r="8" spans="1:22" x14ac:dyDescent="0.25">
      <c r="B8" s="387" t="s">
        <v>55</v>
      </c>
      <c r="C8" s="390" t="s">
        <v>140</v>
      </c>
      <c r="D8" s="86" t="s">
        <v>121</v>
      </c>
      <c r="E8" s="112">
        <f t="shared" si="0"/>
        <v>79.002499999999998</v>
      </c>
      <c r="F8" s="112">
        <f t="shared" si="1"/>
        <v>23.313600000000001</v>
      </c>
      <c r="G8" s="112">
        <f t="shared" si="2"/>
        <v>16.295000000000002</v>
      </c>
      <c r="H8" s="112">
        <f t="shared" si="3"/>
        <v>118.6112</v>
      </c>
      <c r="I8" s="112">
        <f t="shared" si="4"/>
        <v>404.50360000000001</v>
      </c>
      <c r="J8" s="112">
        <f t="shared" si="5"/>
        <v>161.98360000000002</v>
      </c>
      <c r="K8" s="112">
        <f t="shared" si="6"/>
        <v>520.6422</v>
      </c>
      <c r="L8" s="112">
        <f t="shared" si="5"/>
        <v>142.76220000000001</v>
      </c>
      <c r="M8" s="3"/>
      <c r="N8" t="s">
        <v>121</v>
      </c>
      <c r="O8" s="1">
        <v>772283</v>
      </c>
      <c r="P8" s="1">
        <v>790025</v>
      </c>
      <c r="Q8" s="1">
        <v>237052</v>
      </c>
      <c r="R8" s="1">
        <v>233136</v>
      </c>
      <c r="S8" s="1">
        <v>167513</v>
      </c>
      <c r="T8" s="1">
        <v>162950</v>
      </c>
      <c r="U8" s="1">
        <v>1176847</v>
      </c>
      <c r="V8" s="1">
        <v>1186112</v>
      </c>
    </row>
    <row r="9" spans="1:22" x14ac:dyDescent="0.25">
      <c r="B9" s="388"/>
      <c r="C9" s="391"/>
      <c r="D9" s="86" t="s">
        <v>122</v>
      </c>
      <c r="E9" s="112">
        <f t="shared" si="0"/>
        <v>72.932699999999997</v>
      </c>
      <c r="F9" s="112">
        <f t="shared" si="1"/>
        <v>21.428799999999999</v>
      </c>
      <c r="G9" s="112">
        <f t="shared" si="2"/>
        <v>15.9613</v>
      </c>
      <c r="H9" s="112">
        <f t="shared" si="3"/>
        <v>110.3228</v>
      </c>
      <c r="I9" s="112">
        <f t="shared" si="4"/>
        <v>377.00479999999999</v>
      </c>
      <c r="J9" s="112">
        <f t="shared" si="5"/>
        <v>134.48480000000001</v>
      </c>
      <c r="K9" s="112">
        <f t="shared" si="6"/>
        <v>480.45379999999994</v>
      </c>
      <c r="L9" s="112">
        <f t="shared" si="5"/>
        <v>102.57379999999995</v>
      </c>
      <c r="M9" s="3"/>
      <c r="N9" t="s">
        <v>122</v>
      </c>
      <c r="O9" s="1">
        <v>716067</v>
      </c>
      <c r="P9" s="1">
        <v>729327</v>
      </c>
      <c r="Q9" s="1">
        <v>224603</v>
      </c>
      <c r="R9" s="1">
        <v>214288</v>
      </c>
      <c r="S9" s="1">
        <v>161917</v>
      </c>
      <c r="T9" s="1">
        <v>159613</v>
      </c>
      <c r="U9" s="1">
        <v>1102587</v>
      </c>
      <c r="V9" s="1">
        <v>1103228</v>
      </c>
    </row>
    <row r="10" spans="1:22" x14ac:dyDescent="0.25">
      <c r="B10" s="388"/>
      <c r="C10" s="391"/>
      <c r="D10" s="86" t="s">
        <v>123</v>
      </c>
      <c r="E10" s="112">
        <f t="shared" si="0"/>
        <v>74.772599999999997</v>
      </c>
      <c r="F10" s="112">
        <f t="shared" si="1"/>
        <v>21.443899999999999</v>
      </c>
      <c r="G10" s="112">
        <f t="shared" si="2"/>
        <v>18.302499999999998</v>
      </c>
      <c r="H10" s="112">
        <f t="shared" si="3"/>
        <v>114.51900000000001</v>
      </c>
      <c r="I10" s="112">
        <f t="shared" si="4"/>
        <v>393.74429999999995</v>
      </c>
      <c r="J10" s="112">
        <f t="shared" si="5"/>
        <v>151.22429999999997</v>
      </c>
      <c r="K10" s="112">
        <f t="shared" si="6"/>
        <v>491.52339999999992</v>
      </c>
      <c r="L10" s="112">
        <f t="shared" si="5"/>
        <v>113.64339999999993</v>
      </c>
      <c r="M10" s="3"/>
      <c r="N10" t="s">
        <v>123</v>
      </c>
      <c r="O10" s="1">
        <v>736325</v>
      </c>
      <c r="P10" s="1">
        <v>747726</v>
      </c>
      <c r="Q10" s="1">
        <v>217480</v>
      </c>
      <c r="R10" s="1">
        <v>214439</v>
      </c>
      <c r="S10" s="1">
        <v>193396</v>
      </c>
      <c r="T10" s="1">
        <v>183025</v>
      </c>
      <c r="U10" s="1">
        <v>1147201</v>
      </c>
      <c r="V10" s="1">
        <v>1145190</v>
      </c>
    </row>
    <row r="11" spans="1:22" x14ac:dyDescent="0.25">
      <c r="B11" s="388"/>
      <c r="C11" s="391"/>
      <c r="D11" s="86" t="s">
        <v>124</v>
      </c>
      <c r="E11" s="112">
        <f t="shared" si="0"/>
        <v>77.744600000000005</v>
      </c>
      <c r="F11" s="112">
        <f t="shared" si="1"/>
        <v>23.228400000000001</v>
      </c>
      <c r="G11" s="112">
        <f t="shared" si="2"/>
        <v>14.2784</v>
      </c>
      <c r="H11" s="112">
        <f t="shared" si="3"/>
        <v>115.25149999999999</v>
      </c>
      <c r="I11" s="112">
        <f t="shared" si="4"/>
        <v>391.32040000000006</v>
      </c>
      <c r="J11" s="112">
        <f t="shared" si="5"/>
        <v>148.80040000000008</v>
      </c>
      <c r="K11" s="112">
        <f t="shared" si="6"/>
        <v>512.92440000000011</v>
      </c>
      <c r="L11" s="112">
        <f t="shared" si="5"/>
        <v>135.04440000000011</v>
      </c>
      <c r="M11" s="3"/>
      <c r="N11" t="s">
        <v>124</v>
      </c>
      <c r="O11" s="1">
        <v>751513</v>
      </c>
      <c r="P11" s="1">
        <v>777446</v>
      </c>
      <c r="Q11" s="1">
        <v>234586</v>
      </c>
      <c r="R11" s="1">
        <v>232284</v>
      </c>
      <c r="S11" s="1">
        <v>147210</v>
      </c>
      <c r="T11" s="1">
        <v>142784</v>
      </c>
      <c r="U11" s="1">
        <v>1133308</v>
      </c>
      <c r="V11" s="1">
        <v>1152515</v>
      </c>
    </row>
    <row r="12" spans="1:22" x14ac:dyDescent="0.25">
      <c r="B12" s="388"/>
      <c r="C12" s="392"/>
      <c r="D12" s="86" t="s">
        <v>125</v>
      </c>
      <c r="E12" s="112">
        <f t="shared" si="0"/>
        <v>78.100300000000004</v>
      </c>
      <c r="F12" s="112">
        <f t="shared" si="1"/>
        <v>23.181100000000001</v>
      </c>
      <c r="G12" s="112">
        <f t="shared" si="2"/>
        <v>15.249599999999999</v>
      </c>
      <c r="H12" s="112">
        <f t="shared" si="3"/>
        <v>116.53100000000001</v>
      </c>
      <c r="I12" s="112">
        <f t="shared" si="4"/>
        <v>396.58070000000004</v>
      </c>
      <c r="J12" s="112">
        <f t="shared" si="5"/>
        <v>154.06070000000005</v>
      </c>
      <c r="K12" s="112">
        <f t="shared" si="6"/>
        <v>514.96400000000006</v>
      </c>
      <c r="L12" s="112">
        <f t="shared" si="5"/>
        <v>137.08400000000006</v>
      </c>
      <c r="M12" s="3"/>
      <c r="N12" t="s">
        <v>125</v>
      </c>
      <c r="O12" s="1">
        <v>758854</v>
      </c>
      <c r="P12" s="1">
        <v>781003</v>
      </c>
      <c r="Q12" s="1">
        <v>234763</v>
      </c>
      <c r="R12" s="1">
        <v>231811</v>
      </c>
      <c r="S12" s="1">
        <v>157246</v>
      </c>
      <c r="T12" s="1">
        <v>152496</v>
      </c>
      <c r="U12" s="1">
        <v>1150863</v>
      </c>
      <c r="V12" s="1">
        <v>1165310</v>
      </c>
    </row>
    <row r="13" spans="1:22" x14ac:dyDescent="0.25">
      <c r="B13" s="388"/>
      <c r="C13" s="390" t="s">
        <v>71</v>
      </c>
      <c r="D13" s="86" t="s">
        <v>126</v>
      </c>
      <c r="E13" s="112">
        <f t="shared" si="0"/>
        <v>106.8849</v>
      </c>
      <c r="F13" s="112">
        <f t="shared" si="1"/>
        <v>24.266999999999999</v>
      </c>
      <c r="G13" s="112">
        <f t="shared" si="2"/>
        <v>16.282699999999998</v>
      </c>
      <c r="H13" s="112">
        <f t="shared" si="3"/>
        <v>147.43459999999999</v>
      </c>
      <c r="I13" s="112">
        <f t="shared" si="4"/>
        <v>516.93740000000003</v>
      </c>
      <c r="J13" s="112">
        <f t="shared" si="5"/>
        <v>274.41740000000004</v>
      </c>
      <c r="K13" s="112">
        <f t="shared" si="6"/>
        <v>689.84339999999997</v>
      </c>
      <c r="L13" s="112">
        <f t="shared" si="5"/>
        <v>311.96339999999998</v>
      </c>
      <c r="M13" s="3"/>
      <c r="N13" t="s">
        <v>126</v>
      </c>
      <c r="O13" s="1">
        <v>1033614</v>
      </c>
      <c r="P13" s="1">
        <v>1068849</v>
      </c>
      <c r="Q13" s="1">
        <v>243602</v>
      </c>
      <c r="R13" s="1">
        <v>242670</v>
      </c>
      <c r="S13" s="1">
        <v>170466</v>
      </c>
      <c r="T13" s="1">
        <v>162827</v>
      </c>
      <c r="U13" s="1">
        <v>1447682</v>
      </c>
      <c r="V13" s="1">
        <v>1474346</v>
      </c>
    </row>
    <row r="14" spans="1:22" x14ac:dyDescent="0.25">
      <c r="B14" s="388"/>
      <c r="C14" s="391"/>
      <c r="D14" s="86" t="s">
        <v>127</v>
      </c>
      <c r="E14" s="112">
        <f t="shared" si="0"/>
        <v>143.51669999999999</v>
      </c>
      <c r="F14" s="112">
        <f t="shared" si="1"/>
        <v>34.1541</v>
      </c>
      <c r="G14" s="112">
        <f t="shared" si="2"/>
        <v>30.583400000000001</v>
      </c>
      <c r="H14" s="112">
        <f t="shared" si="3"/>
        <v>208.2542</v>
      </c>
      <c r="I14" s="112">
        <f t="shared" si="4"/>
        <v>730.55449999999996</v>
      </c>
      <c r="J14" s="112">
        <f t="shared" si="5"/>
        <v>488.03449999999998</v>
      </c>
      <c r="K14" s="112">
        <f t="shared" si="6"/>
        <v>929.4083999999998</v>
      </c>
      <c r="L14" s="112">
        <f t="shared" si="5"/>
        <v>551.52839999999981</v>
      </c>
      <c r="M14" s="3"/>
      <c r="N14" t="s">
        <v>127</v>
      </c>
      <c r="O14" s="1">
        <v>1437492</v>
      </c>
      <c r="P14" s="1">
        <v>1435167</v>
      </c>
      <c r="Q14" s="1">
        <v>340543</v>
      </c>
      <c r="R14" s="1">
        <v>341541</v>
      </c>
      <c r="S14" s="1">
        <v>303040</v>
      </c>
      <c r="T14" s="1">
        <v>305834</v>
      </c>
      <c r="U14" s="1">
        <v>2081075</v>
      </c>
      <c r="V14" s="1">
        <v>2082542</v>
      </c>
    </row>
    <row r="15" spans="1:22" x14ac:dyDescent="0.25">
      <c r="B15" s="388"/>
      <c r="C15" s="391"/>
      <c r="D15" s="86" t="s">
        <v>128</v>
      </c>
      <c r="E15" s="112">
        <f t="shared" si="0"/>
        <v>96.589100000000002</v>
      </c>
      <c r="F15" s="112">
        <f t="shared" si="1"/>
        <v>24.6282</v>
      </c>
      <c r="G15" s="112">
        <f t="shared" si="2"/>
        <v>20.098700000000001</v>
      </c>
      <c r="H15" s="112">
        <f t="shared" si="3"/>
        <v>141.31610000000001</v>
      </c>
      <c r="I15" s="112">
        <f t="shared" si="4"/>
        <v>491.37940000000003</v>
      </c>
      <c r="J15" s="112">
        <f t="shared" si="5"/>
        <v>248.85940000000005</v>
      </c>
      <c r="K15" s="112">
        <f t="shared" si="6"/>
        <v>628.79099999999994</v>
      </c>
      <c r="L15" s="112">
        <f t="shared" si="5"/>
        <v>250.91099999999994</v>
      </c>
      <c r="M15" s="3"/>
      <c r="N15" t="s">
        <v>128</v>
      </c>
      <c r="O15" s="1">
        <v>908741</v>
      </c>
      <c r="P15" s="1">
        <v>965891</v>
      </c>
      <c r="Q15" s="1">
        <v>246435</v>
      </c>
      <c r="R15" s="1">
        <v>246282</v>
      </c>
      <c r="S15" s="1">
        <v>201162</v>
      </c>
      <c r="T15" s="1">
        <v>200987</v>
      </c>
      <c r="U15" s="1">
        <v>1356338</v>
      </c>
      <c r="V15" s="1">
        <v>1413161</v>
      </c>
    </row>
    <row r="16" spans="1:22" x14ac:dyDescent="0.25">
      <c r="B16" s="388"/>
      <c r="C16" s="392"/>
      <c r="D16" s="86" t="s">
        <v>125</v>
      </c>
      <c r="E16" s="112">
        <f t="shared" si="0"/>
        <v>110.1854</v>
      </c>
      <c r="F16" s="112">
        <f t="shared" si="1"/>
        <v>25.4941</v>
      </c>
      <c r="G16" s="112">
        <f t="shared" si="2"/>
        <v>18.4102</v>
      </c>
      <c r="H16" s="112">
        <f t="shared" si="3"/>
        <v>154.08959999999999</v>
      </c>
      <c r="I16" s="112">
        <f t="shared" si="4"/>
        <v>539.87649999999996</v>
      </c>
      <c r="J16" s="112">
        <f t="shared" si="5"/>
        <v>297.35649999999998</v>
      </c>
      <c r="K16" s="112">
        <f t="shared" si="6"/>
        <v>712.10059999999999</v>
      </c>
      <c r="L16" s="112">
        <f t="shared" si="5"/>
        <v>334.22059999999999</v>
      </c>
      <c r="M16" s="3"/>
      <c r="N16" t="s">
        <v>125</v>
      </c>
      <c r="O16" s="1">
        <v>1071560</v>
      </c>
      <c r="P16" s="1">
        <v>1101854</v>
      </c>
      <c r="Q16" s="1">
        <v>256208</v>
      </c>
      <c r="R16" s="1">
        <v>254941</v>
      </c>
      <c r="S16" s="1">
        <v>190565</v>
      </c>
      <c r="T16" s="1">
        <v>184102</v>
      </c>
      <c r="U16" s="1">
        <v>1518333</v>
      </c>
      <c r="V16" s="1">
        <v>1540896</v>
      </c>
    </row>
    <row r="17" spans="1:22" x14ac:dyDescent="0.25">
      <c r="B17" s="388"/>
      <c r="C17" s="390" t="s">
        <v>143</v>
      </c>
      <c r="D17" s="86" t="s">
        <v>133</v>
      </c>
      <c r="E17" s="112">
        <f t="shared" si="0"/>
        <v>266.75830000000002</v>
      </c>
      <c r="F17" s="112">
        <f t="shared" si="1"/>
        <v>132.55070000000001</v>
      </c>
      <c r="G17" s="112">
        <f t="shared" si="2"/>
        <v>105.0137</v>
      </c>
      <c r="H17" s="112">
        <f t="shared" si="3"/>
        <v>504.3227</v>
      </c>
      <c r="I17" s="112">
        <f t="shared" si="4"/>
        <v>1619.6387</v>
      </c>
      <c r="J17" s="112">
        <f t="shared" si="5"/>
        <v>1377.1187</v>
      </c>
      <c r="K17" s="112">
        <f t="shared" si="6"/>
        <v>1865.6512000000002</v>
      </c>
      <c r="L17" s="112">
        <f t="shared" si="5"/>
        <v>1487.7712000000001</v>
      </c>
      <c r="M17" s="3"/>
      <c r="N17" t="s">
        <v>133</v>
      </c>
      <c r="O17" s="1">
        <v>2736813</v>
      </c>
      <c r="P17" s="1">
        <v>2667583</v>
      </c>
      <c r="Q17" s="1">
        <v>1279386</v>
      </c>
      <c r="R17" s="1">
        <v>1325507</v>
      </c>
      <c r="S17" s="1">
        <v>1075067</v>
      </c>
      <c r="T17" s="1">
        <v>1050137</v>
      </c>
      <c r="U17" s="1">
        <v>5091266</v>
      </c>
      <c r="V17" s="1">
        <v>5043227</v>
      </c>
    </row>
    <row r="18" spans="1:22" x14ac:dyDescent="0.25">
      <c r="B18" s="388"/>
      <c r="C18" s="391"/>
      <c r="D18" s="86" t="s">
        <v>134</v>
      </c>
      <c r="E18" s="112">
        <f t="shared" si="0"/>
        <v>316.7038</v>
      </c>
      <c r="F18" s="112">
        <f t="shared" si="1"/>
        <v>56.340299999999999</v>
      </c>
      <c r="G18" s="112">
        <f t="shared" si="2"/>
        <v>55.879800000000003</v>
      </c>
      <c r="H18" s="112">
        <f t="shared" si="3"/>
        <v>428.9239</v>
      </c>
      <c r="I18" s="112">
        <f t="shared" si="4"/>
        <v>1546.6747</v>
      </c>
      <c r="J18" s="112">
        <f t="shared" si="5"/>
        <v>1304.1547</v>
      </c>
      <c r="K18" s="112">
        <f t="shared" si="6"/>
        <v>2012.9033999999999</v>
      </c>
      <c r="L18" s="112">
        <f t="shared" si="5"/>
        <v>1635.0234</v>
      </c>
      <c r="M18" s="3"/>
      <c r="N18" t="s">
        <v>134</v>
      </c>
      <c r="O18" s="1">
        <v>3167038</v>
      </c>
      <c r="P18" s="1">
        <v>3167038</v>
      </c>
      <c r="Q18" s="1">
        <v>563403</v>
      </c>
      <c r="R18" s="1">
        <v>563403</v>
      </c>
      <c r="S18" s="1">
        <v>558798</v>
      </c>
      <c r="T18" s="1">
        <v>558798</v>
      </c>
      <c r="U18" s="1">
        <v>4289239</v>
      </c>
      <c r="V18" s="1">
        <v>4289239</v>
      </c>
    </row>
    <row r="19" spans="1:22" x14ac:dyDescent="0.25">
      <c r="B19" s="388"/>
      <c r="C19" s="392"/>
      <c r="D19" s="86" t="s">
        <v>125</v>
      </c>
      <c r="E19" s="112">
        <f t="shared" si="0"/>
        <v>284.79399999999998</v>
      </c>
      <c r="F19" s="112">
        <f t="shared" si="1"/>
        <v>105.03060000000001</v>
      </c>
      <c r="G19" s="112">
        <f t="shared" si="2"/>
        <v>87.271100000000004</v>
      </c>
      <c r="H19" s="112">
        <f t="shared" si="3"/>
        <v>477.09570000000002</v>
      </c>
      <c r="I19" s="112">
        <f t="shared" si="4"/>
        <v>1593.2909999999999</v>
      </c>
      <c r="J19" s="112">
        <f t="shared" si="5"/>
        <v>1350.771</v>
      </c>
      <c r="K19" s="112">
        <f t="shared" si="6"/>
        <v>1918.8252</v>
      </c>
      <c r="L19" s="112">
        <f t="shared" si="5"/>
        <v>1540.9452000000001</v>
      </c>
      <c r="M19" s="3"/>
      <c r="N19" t="s">
        <v>125</v>
      </c>
      <c r="O19" s="1">
        <v>2896848</v>
      </c>
      <c r="P19" s="1">
        <v>2847940</v>
      </c>
      <c r="Q19" s="1">
        <v>1013054</v>
      </c>
      <c r="R19" s="1">
        <v>1050306</v>
      </c>
      <c r="S19" s="1">
        <v>883026</v>
      </c>
      <c r="T19" s="1">
        <v>872711</v>
      </c>
      <c r="U19" s="1">
        <v>4792928</v>
      </c>
      <c r="V19" s="1">
        <v>4770957</v>
      </c>
    </row>
    <row r="20" spans="1:22" x14ac:dyDescent="0.25">
      <c r="B20" s="388"/>
      <c r="C20" s="390" t="s">
        <v>72</v>
      </c>
      <c r="D20" s="86" t="s">
        <v>129</v>
      </c>
      <c r="E20" s="112">
        <f t="shared" si="0"/>
        <v>80.667699999999996</v>
      </c>
      <c r="F20" s="112">
        <f t="shared" si="1"/>
        <v>25.570399999999999</v>
      </c>
      <c r="G20" s="112">
        <f t="shared" si="2"/>
        <v>19.072199999999999</v>
      </c>
      <c r="H20" s="112">
        <f t="shared" si="3"/>
        <v>125.3103</v>
      </c>
      <c r="I20" s="112">
        <f t="shared" si="4"/>
        <v>424.53</v>
      </c>
      <c r="J20" s="112">
        <f t="shared" si="5"/>
        <v>182.01</v>
      </c>
      <c r="K20" s="112">
        <f t="shared" si="6"/>
        <v>535.14699999999993</v>
      </c>
      <c r="L20" s="112">
        <f t="shared" si="5"/>
        <v>157.26699999999994</v>
      </c>
      <c r="M20" s="3"/>
      <c r="N20" t="s">
        <v>129</v>
      </c>
      <c r="O20" s="1">
        <v>796049</v>
      </c>
      <c r="P20" s="1">
        <v>806677</v>
      </c>
      <c r="Q20" s="1">
        <v>256986</v>
      </c>
      <c r="R20" s="1">
        <v>255704</v>
      </c>
      <c r="S20" s="1">
        <v>200989</v>
      </c>
      <c r="T20" s="1">
        <v>190722</v>
      </c>
      <c r="U20" s="1">
        <v>1254025</v>
      </c>
      <c r="V20" s="1">
        <v>1253103</v>
      </c>
    </row>
    <row r="21" spans="1:22" x14ac:dyDescent="0.25">
      <c r="B21" s="388"/>
      <c r="C21" s="391"/>
      <c r="D21" s="86" t="s">
        <v>130</v>
      </c>
      <c r="E21" s="112">
        <f t="shared" si="0"/>
        <v>110.89530000000001</v>
      </c>
      <c r="F21" s="112">
        <f t="shared" si="1"/>
        <v>25.9312</v>
      </c>
      <c r="G21" s="112">
        <f t="shared" si="2"/>
        <v>26.793700000000001</v>
      </c>
      <c r="H21" s="112">
        <f t="shared" si="3"/>
        <v>163.62029999999999</v>
      </c>
      <c r="I21" s="112">
        <f t="shared" si="4"/>
        <v>576.68720000000008</v>
      </c>
      <c r="J21" s="112">
        <f t="shared" si="5"/>
        <v>334.16720000000009</v>
      </c>
      <c r="K21" s="112">
        <f t="shared" si="6"/>
        <v>717.23419999999999</v>
      </c>
      <c r="L21" s="112">
        <f t="shared" si="5"/>
        <v>339.35419999999999</v>
      </c>
      <c r="M21" s="3"/>
      <c r="N21" t="s">
        <v>130</v>
      </c>
      <c r="O21" s="1">
        <v>1115846</v>
      </c>
      <c r="P21" s="1">
        <v>1108953</v>
      </c>
      <c r="Q21" s="1">
        <v>256675</v>
      </c>
      <c r="R21" s="1">
        <v>259312</v>
      </c>
      <c r="S21" s="1">
        <v>269047</v>
      </c>
      <c r="T21" s="1">
        <v>267937</v>
      </c>
      <c r="U21" s="1">
        <v>1641568</v>
      </c>
      <c r="V21" s="1">
        <v>1636203</v>
      </c>
    </row>
    <row r="22" spans="1:22" x14ac:dyDescent="0.25">
      <c r="B22" s="388"/>
      <c r="C22" s="391"/>
      <c r="D22" s="86" t="s">
        <v>131</v>
      </c>
      <c r="E22" s="112">
        <f t="shared" si="0"/>
        <v>81.485600000000005</v>
      </c>
      <c r="F22" s="112">
        <f t="shared" si="1"/>
        <v>25.826499999999999</v>
      </c>
      <c r="G22" s="112">
        <f t="shared" si="2"/>
        <v>22.103200000000001</v>
      </c>
      <c r="H22" s="112">
        <f t="shared" si="3"/>
        <v>129.4152</v>
      </c>
      <c r="I22" s="112">
        <f t="shared" si="4"/>
        <v>440.18170000000003</v>
      </c>
      <c r="J22" s="112">
        <f t="shared" si="5"/>
        <v>197.66170000000005</v>
      </c>
      <c r="K22" s="112">
        <f t="shared" si="6"/>
        <v>540.56659999999999</v>
      </c>
      <c r="L22" s="112">
        <f t="shared" si="5"/>
        <v>162.6866</v>
      </c>
      <c r="M22" s="3"/>
      <c r="N22" t="s">
        <v>131</v>
      </c>
      <c r="O22" s="1">
        <v>805524</v>
      </c>
      <c r="P22" s="1">
        <v>814856</v>
      </c>
      <c r="Q22" s="1">
        <v>256747</v>
      </c>
      <c r="R22" s="1">
        <v>258265</v>
      </c>
      <c r="S22" s="1">
        <v>230983</v>
      </c>
      <c r="T22" s="1">
        <v>221032</v>
      </c>
      <c r="U22" s="1">
        <v>1293254</v>
      </c>
      <c r="V22" s="1">
        <v>1294152</v>
      </c>
    </row>
    <row r="23" spans="1:22" x14ac:dyDescent="0.25">
      <c r="B23" s="388"/>
      <c r="C23" s="391"/>
      <c r="D23" s="86" t="s">
        <v>132</v>
      </c>
      <c r="E23" s="112">
        <f t="shared" si="0"/>
        <v>99.557500000000005</v>
      </c>
      <c r="F23" s="112">
        <f t="shared" si="1"/>
        <v>27.246700000000001</v>
      </c>
      <c r="G23" s="112">
        <f t="shared" si="2"/>
        <v>23.276599999999998</v>
      </c>
      <c r="H23" s="112">
        <f t="shared" si="3"/>
        <v>150.08080000000001</v>
      </c>
      <c r="I23" s="112">
        <f t="shared" si="4"/>
        <v>518.58309999999994</v>
      </c>
      <c r="J23" s="112">
        <f t="shared" si="5"/>
        <v>276.06309999999996</v>
      </c>
      <c r="K23" s="112">
        <f t="shared" si="6"/>
        <v>651.83839999999998</v>
      </c>
      <c r="L23" s="112">
        <f t="shared" si="5"/>
        <v>273.95839999999998</v>
      </c>
      <c r="M23" s="3"/>
      <c r="N23" t="s">
        <v>132</v>
      </c>
      <c r="O23" s="1">
        <v>990823</v>
      </c>
      <c r="P23" s="1">
        <v>995575</v>
      </c>
      <c r="Q23" s="1">
        <v>276494</v>
      </c>
      <c r="R23" s="1">
        <v>272467</v>
      </c>
      <c r="S23" s="1">
        <v>232712</v>
      </c>
      <c r="T23" s="1">
        <v>232766</v>
      </c>
      <c r="U23" s="1">
        <v>1500029</v>
      </c>
      <c r="V23" s="1">
        <v>1500808</v>
      </c>
    </row>
    <row r="24" spans="1:22" x14ac:dyDescent="0.25">
      <c r="B24" s="388"/>
      <c r="C24" s="392"/>
      <c r="D24" s="86" t="s">
        <v>125</v>
      </c>
      <c r="E24" s="112">
        <f t="shared" si="0"/>
        <v>95.749499999999998</v>
      </c>
      <c r="F24" s="112">
        <f t="shared" si="1"/>
        <v>26.450299999999999</v>
      </c>
      <c r="G24" s="112">
        <f t="shared" si="2"/>
        <v>23.010300000000001</v>
      </c>
      <c r="H24" s="112">
        <f t="shared" si="3"/>
        <v>145.21019999999999</v>
      </c>
      <c r="I24" s="112">
        <f t="shared" si="4"/>
        <v>501.48950000000002</v>
      </c>
      <c r="J24" s="112">
        <f t="shared" si="5"/>
        <v>258.96950000000004</v>
      </c>
      <c r="K24" s="112">
        <f t="shared" si="6"/>
        <v>627.39760000000001</v>
      </c>
      <c r="L24" s="112">
        <f t="shared" si="5"/>
        <v>249.51760000000002</v>
      </c>
      <c r="M24" s="3"/>
      <c r="N24" t="s">
        <v>125</v>
      </c>
      <c r="O24" s="1">
        <v>955473</v>
      </c>
      <c r="P24" s="1">
        <v>957495</v>
      </c>
      <c r="Q24" s="1">
        <v>265694</v>
      </c>
      <c r="R24" s="1">
        <v>264503</v>
      </c>
      <c r="S24" s="1">
        <v>233970</v>
      </c>
      <c r="T24" s="1">
        <v>230103</v>
      </c>
      <c r="U24" s="1">
        <v>1455137</v>
      </c>
      <c r="V24" s="1">
        <v>1452102</v>
      </c>
    </row>
    <row r="25" spans="1:22" x14ac:dyDescent="0.25">
      <c r="B25" s="389"/>
      <c r="C25" s="384" t="s">
        <v>141</v>
      </c>
      <c r="D25" s="386"/>
      <c r="E25" s="112">
        <f t="shared" si="0"/>
        <v>90.009299999999996</v>
      </c>
      <c r="F25" s="112">
        <f t="shared" si="1"/>
        <v>25.202999999999999</v>
      </c>
      <c r="G25" s="112">
        <f t="shared" si="2"/>
        <v>18.1294</v>
      </c>
      <c r="H25" s="112">
        <f t="shared" si="3"/>
        <v>133.34180000000001</v>
      </c>
      <c r="I25" s="112">
        <f t="shared" si="4"/>
        <v>457.75779999999997</v>
      </c>
      <c r="J25" s="112">
        <f t="shared" si="5"/>
        <v>215.23779999999999</v>
      </c>
      <c r="K25" s="112">
        <f t="shared" si="6"/>
        <v>590.46179999999993</v>
      </c>
      <c r="L25" s="112">
        <f t="shared" si="5"/>
        <v>212.58179999999993</v>
      </c>
      <c r="M25" s="3"/>
      <c r="N25" t="s">
        <v>135</v>
      </c>
      <c r="O25" s="1">
        <v>877735</v>
      </c>
      <c r="P25" s="1">
        <v>900093</v>
      </c>
      <c r="Q25" s="1">
        <v>253461</v>
      </c>
      <c r="R25" s="1">
        <v>252030</v>
      </c>
      <c r="S25" s="1">
        <v>185620</v>
      </c>
      <c r="T25" s="1">
        <v>181294</v>
      </c>
      <c r="U25" s="1">
        <v>1316816</v>
      </c>
      <c r="V25" s="1">
        <v>1333418</v>
      </c>
    </row>
    <row r="28" spans="1:22" x14ac:dyDescent="0.25">
      <c r="C28" s="394" t="s">
        <v>142</v>
      </c>
      <c r="D28" s="395"/>
      <c r="E28" s="393" t="s">
        <v>136</v>
      </c>
      <c r="F28" s="393"/>
      <c r="G28" s="393"/>
      <c r="H28" s="393"/>
      <c r="I28" s="393" t="s">
        <v>144</v>
      </c>
      <c r="J28" s="393"/>
      <c r="K28" s="393"/>
      <c r="L28" s="393"/>
    </row>
    <row r="29" spans="1:22" ht="57" x14ac:dyDescent="0.25">
      <c r="C29" s="396"/>
      <c r="D29" s="397"/>
      <c r="E29" s="113" t="s">
        <v>151</v>
      </c>
      <c r="F29" s="116" t="s">
        <v>152</v>
      </c>
      <c r="G29" s="116" t="s">
        <v>153</v>
      </c>
      <c r="H29" s="116" t="s">
        <v>154</v>
      </c>
      <c r="I29" s="113" t="s">
        <v>151</v>
      </c>
      <c r="J29" s="116" t="s">
        <v>152</v>
      </c>
      <c r="K29" s="116" t="s">
        <v>153</v>
      </c>
      <c r="L29" s="116" t="s">
        <v>154</v>
      </c>
    </row>
    <row r="30" spans="1:22" x14ac:dyDescent="0.25">
      <c r="C30" s="115" t="s">
        <v>119</v>
      </c>
      <c r="D30" s="115"/>
      <c r="E30" s="112">
        <f>I6</f>
        <v>242.51999999999998</v>
      </c>
      <c r="F30" s="112">
        <f>E30+48</f>
        <v>290.52</v>
      </c>
      <c r="G30" s="112">
        <f>E30+240</f>
        <v>482.52</v>
      </c>
      <c r="H30" s="112">
        <f>E30+360</f>
        <v>602.52</v>
      </c>
      <c r="I30" s="112">
        <f>K6</f>
        <v>377.88</v>
      </c>
      <c r="J30" s="112">
        <f>I30+48</f>
        <v>425.88</v>
      </c>
      <c r="K30" s="112">
        <f>I30+240</f>
        <v>617.88</v>
      </c>
      <c r="L30" s="112">
        <f>I30+360</f>
        <v>737.88</v>
      </c>
    </row>
    <row r="31" spans="1:22" x14ac:dyDescent="0.25">
      <c r="C31" s="115" t="s">
        <v>120</v>
      </c>
      <c r="D31" s="115"/>
      <c r="E31" s="112">
        <f t="shared" ref="E31" si="7">I7</f>
        <v>254.815</v>
      </c>
      <c r="F31" s="112">
        <f t="shared" ref="F31:F35" si="8">E31+48</f>
        <v>302.815</v>
      </c>
      <c r="G31" s="112">
        <f t="shared" ref="G31:G35" si="9">E31+240</f>
        <v>494.815</v>
      </c>
      <c r="H31" s="112">
        <f t="shared" ref="H31:H35" si="10">E31+360</f>
        <v>614.81500000000005</v>
      </c>
      <c r="I31" s="112">
        <f>K7</f>
        <v>401.90340000000003</v>
      </c>
      <c r="J31" s="112">
        <f t="shared" ref="J31:J35" si="11">I31+48</f>
        <v>449.90340000000003</v>
      </c>
      <c r="K31" s="112">
        <f t="shared" ref="K31:K35" si="12">I31+240</f>
        <v>641.90340000000003</v>
      </c>
      <c r="L31" s="112">
        <f t="shared" ref="L31:L35" si="13">I31+360</f>
        <v>761.90340000000003</v>
      </c>
    </row>
    <row r="32" spans="1:22" x14ac:dyDescent="0.25">
      <c r="A32" s="1"/>
      <c r="B32" s="1"/>
      <c r="C32" s="393" t="s">
        <v>150</v>
      </c>
      <c r="D32" s="86" t="s">
        <v>146</v>
      </c>
      <c r="E32" s="112">
        <f>I12</f>
        <v>396.58070000000004</v>
      </c>
      <c r="F32" s="112">
        <f t="shared" si="8"/>
        <v>444.58070000000004</v>
      </c>
      <c r="G32" s="112">
        <f t="shared" si="9"/>
        <v>636.58069999999998</v>
      </c>
      <c r="H32" s="112">
        <f t="shared" si="10"/>
        <v>756.58069999999998</v>
      </c>
      <c r="I32" s="112">
        <f>K12</f>
        <v>514.96400000000006</v>
      </c>
      <c r="J32" s="112">
        <f t="shared" si="11"/>
        <v>562.96400000000006</v>
      </c>
      <c r="K32" s="112">
        <f t="shared" si="12"/>
        <v>754.96400000000006</v>
      </c>
      <c r="L32" s="112">
        <f t="shared" si="13"/>
        <v>874.96400000000006</v>
      </c>
    </row>
    <row r="33" spans="2:12" x14ac:dyDescent="0.25">
      <c r="B33" s="1"/>
      <c r="C33" s="393"/>
      <c r="D33" s="86" t="s">
        <v>147</v>
      </c>
      <c r="E33" s="112">
        <f>I16</f>
        <v>539.87649999999996</v>
      </c>
      <c r="F33" s="112">
        <f t="shared" si="8"/>
        <v>587.87649999999996</v>
      </c>
      <c r="G33" s="112">
        <f t="shared" si="9"/>
        <v>779.87649999999996</v>
      </c>
      <c r="H33" s="112">
        <f t="shared" si="10"/>
        <v>899.87649999999996</v>
      </c>
      <c r="I33" s="112">
        <f>K16</f>
        <v>712.10059999999999</v>
      </c>
      <c r="J33" s="112">
        <f t="shared" si="11"/>
        <v>760.10059999999999</v>
      </c>
      <c r="K33" s="112">
        <f t="shared" si="12"/>
        <v>952.10059999999999</v>
      </c>
      <c r="L33" s="112">
        <f t="shared" si="13"/>
        <v>1072.1006</v>
      </c>
    </row>
    <row r="34" spans="2:12" x14ac:dyDescent="0.25">
      <c r="B34" s="1"/>
      <c r="C34" s="393"/>
      <c r="D34" s="86" t="s">
        <v>148</v>
      </c>
      <c r="E34" s="112">
        <f>I19</f>
        <v>1593.2909999999999</v>
      </c>
      <c r="F34" s="112">
        <f t="shared" si="8"/>
        <v>1641.2909999999999</v>
      </c>
      <c r="G34" s="112">
        <f t="shared" si="9"/>
        <v>1833.2909999999999</v>
      </c>
      <c r="H34" s="112">
        <f t="shared" si="10"/>
        <v>1953.2909999999999</v>
      </c>
      <c r="I34" s="112">
        <f>K19</f>
        <v>1918.8252</v>
      </c>
      <c r="J34" s="112">
        <f t="shared" si="11"/>
        <v>1966.8252</v>
      </c>
      <c r="K34" s="112">
        <f t="shared" si="12"/>
        <v>2158.8252000000002</v>
      </c>
      <c r="L34" s="112">
        <f t="shared" si="13"/>
        <v>2278.8252000000002</v>
      </c>
    </row>
    <row r="35" spans="2:12" x14ac:dyDescent="0.25">
      <c r="B35" s="1"/>
      <c r="C35" s="393"/>
      <c r="D35" s="86" t="s">
        <v>149</v>
      </c>
      <c r="E35" s="112">
        <f>I24</f>
        <v>501.48950000000002</v>
      </c>
      <c r="F35" s="112">
        <f t="shared" si="8"/>
        <v>549.48950000000002</v>
      </c>
      <c r="G35" s="112">
        <f t="shared" si="9"/>
        <v>741.48950000000002</v>
      </c>
      <c r="H35" s="112">
        <f t="shared" si="10"/>
        <v>861.48950000000002</v>
      </c>
      <c r="I35" s="112">
        <f>K25</f>
        <v>590.46179999999993</v>
      </c>
      <c r="J35" s="112">
        <f t="shared" si="11"/>
        <v>638.46179999999993</v>
      </c>
      <c r="K35" s="112">
        <f t="shared" si="12"/>
        <v>830.46179999999993</v>
      </c>
      <c r="L35" s="112">
        <f t="shared" si="13"/>
        <v>950.46179999999993</v>
      </c>
    </row>
    <row r="36" spans="2:12" x14ac:dyDescent="0.25">
      <c r="B36" s="1"/>
      <c r="C36" s="1"/>
    </row>
    <row r="37" spans="2:12" x14ac:dyDescent="0.25">
      <c r="B37" s="1"/>
      <c r="C37" s="1"/>
      <c r="D37" s="1"/>
    </row>
    <row r="38" spans="2:12" x14ac:dyDescent="0.25">
      <c r="B38" s="1"/>
      <c r="C38" s="1"/>
      <c r="D38" s="1"/>
    </row>
    <row r="39" spans="2:12" x14ac:dyDescent="0.25">
      <c r="B39" s="1"/>
      <c r="C39" s="1"/>
      <c r="D39" s="1"/>
    </row>
    <row r="40" spans="2:12" x14ac:dyDescent="0.25">
      <c r="B40" s="1"/>
      <c r="C40" s="1"/>
    </row>
    <row r="41" spans="2:12" x14ac:dyDescent="0.25">
      <c r="B41" s="1"/>
      <c r="C41" s="1"/>
      <c r="D41" s="1"/>
    </row>
    <row r="42" spans="2:12" x14ac:dyDescent="0.25">
      <c r="B42" s="1"/>
      <c r="C42" s="1"/>
      <c r="D42" s="1"/>
    </row>
    <row r="43" spans="2:12" x14ac:dyDescent="0.25">
      <c r="B43" s="1"/>
      <c r="C43" s="1"/>
    </row>
    <row r="44" spans="2:12" x14ac:dyDescent="0.25">
      <c r="B44" s="1"/>
      <c r="C44" s="1"/>
      <c r="D44" s="1"/>
    </row>
    <row r="45" spans="2:12" x14ac:dyDescent="0.25">
      <c r="B45" s="1"/>
      <c r="C45" s="1"/>
      <c r="D45" s="1"/>
    </row>
    <row r="46" spans="2:12" x14ac:dyDescent="0.25">
      <c r="B46" s="1"/>
      <c r="C46" s="1"/>
      <c r="D46" s="1"/>
    </row>
    <row r="47" spans="2:12" x14ac:dyDescent="0.25">
      <c r="B47" s="1"/>
      <c r="C47" s="1"/>
      <c r="D47" s="1"/>
    </row>
    <row r="48" spans="2:12" x14ac:dyDescent="0.25">
      <c r="B48" s="1"/>
      <c r="C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sheetData>
  <mergeCells count="13">
    <mergeCell ref="I28:L28"/>
    <mergeCell ref="E28:H28"/>
    <mergeCell ref="C28:D29"/>
    <mergeCell ref="C32:C35"/>
    <mergeCell ref="B6:D6"/>
    <mergeCell ref="B5:D5"/>
    <mergeCell ref="C25:D25"/>
    <mergeCell ref="B8:B25"/>
    <mergeCell ref="C20:C24"/>
    <mergeCell ref="C17:C19"/>
    <mergeCell ref="C13:C16"/>
    <mergeCell ref="C8:C12"/>
    <mergeCell ref="B7:D7"/>
  </mergeCells>
  <phoneticPr fontId="2"/>
  <pageMargins left="0.7" right="0.7" top="0.75" bottom="0.75" header="0.3" footer="0.3"/>
  <pageSetup paperSize="8"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1" tint="0.34998626667073579"/>
  </sheetPr>
  <dimension ref="B2:AG26"/>
  <sheetViews>
    <sheetView zoomScale="70" zoomScaleNormal="70" workbookViewId="0">
      <selection activeCell="M29" sqref="M29"/>
    </sheetView>
  </sheetViews>
  <sheetFormatPr defaultRowHeight="14.25" x14ac:dyDescent="0.25"/>
  <cols>
    <col min="2" max="2" width="7.375" bestFit="1" customWidth="1"/>
    <col min="3" max="3" width="22.25" bestFit="1" customWidth="1"/>
    <col min="4" max="4" width="13.375" bestFit="1" customWidth="1"/>
    <col min="5" max="5" width="15" bestFit="1" customWidth="1"/>
    <col min="6" max="6" width="13.5" customWidth="1"/>
    <col min="7" max="7" width="13.5" bestFit="1" customWidth="1"/>
    <col min="8" max="8" width="14.125" customWidth="1"/>
    <col min="10" max="10" width="8.5" customWidth="1"/>
    <col min="13" max="13" width="9" style="1"/>
    <col min="14" max="14" width="2.5" customWidth="1"/>
  </cols>
  <sheetData>
    <row r="2" spans="2:33" x14ac:dyDescent="0.25">
      <c r="C2" t="s">
        <v>320</v>
      </c>
      <c r="J2" t="s">
        <v>321</v>
      </c>
    </row>
    <row r="5" spans="2:33" x14ac:dyDescent="0.25">
      <c r="B5" s="86" t="s">
        <v>322</v>
      </c>
      <c r="C5" s="86" t="s">
        <v>323</v>
      </c>
      <c r="D5" s="86" t="s">
        <v>324</v>
      </c>
      <c r="E5" s="86" t="s">
        <v>325</v>
      </c>
      <c r="F5" s="86" t="s">
        <v>326</v>
      </c>
      <c r="G5" s="86" t="s">
        <v>327</v>
      </c>
      <c r="I5" s="86" t="s">
        <v>328</v>
      </c>
      <c r="J5" s="86" t="s">
        <v>329</v>
      </c>
      <c r="K5" s="86" t="s">
        <v>330</v>
      </c>
      <c r="L5" s="86" t="s">
        <v>331</v>
      </c>
      <c r="M5" s="112" t="s">
        <v>258</v>
      </c>
      <c r="Q5" s="86" t="s">
        <v>340</v>
      </c>
      <c r="AE5" s="181" t="s">
        <v>256</v>
      </c>
      <c r="AF5" s="181"/>
      <c r="AG5" s="181"/>
    </row>
    <row r="6" spans="2:33" x14ac:dyDescent="0.25">
      <c r="B6" s="88" t="s">
        <v>40</v>
      </c>
      <c r="C6" s="226" t="s">
        <v>332</v>
      </c>
      <c r="D6" s="227">
        <f>M6*10000</f>
        <v>896633.83230769285</v>
      </c>
      <c r="E6" s="228"/>
      <c r="F6" s="229">
        <f>IF(C6=$Q$7,1,0)+IF(C6=$Q$8,1,0)</f>
        <v>0</v>
      </c>
      <c r="G6" s="229">
        <f>IF(C6=$Q$9,1,0)</f>
        <v>1</v>
      </c>
      <c r="I6" s="236">
        <f>VLOOKUP(70,親1!C:H,6,0)</f>
        <v>199.66338323076928</v>
      </c>
      <c r="J6" s="230">
        <f>VLOOKUP(I6,AE:AG,2)</f>
        <v>0</v>
      </c>
      <c r="K6" s="112">
        <f>VLOOKUP(I6,AE:AG,3)</f>
        <v>110</v>
      </c>
      <c r="L6" s="86">
        <f>I6*J6+K6</f>
        <v>110</v>
      </c>
      <c r="M6" s="112">
        <f>MAX(I6-L6,0)</f>
        <v>89.663383230769284</v>
      </c>
      <c r="Q6" s="86" t="s">
        <v>334</v>
      </c>
      <c r="AE6" s="181">
        <v>0</v>
      </c>
      <c r="AF6" s="181"/>
      <c r="AG6" s="181">
        <v>110</v>
      </c>
    </row>
    <row r="7" spans="2:33" x14ac:dyDescent="0.25">
      <c r="B7" s="88" t="s">
        <v>41</v>
      </c>
      <c r="C7" s="226" t="s">
        <v>332</v>
      </c>
      <c r="D7" s="227">
        <f>M7*10000</f>
        <v>0</v>
      </c>
      <c r="E7" s="228"/>
      <c r="F7" s="229">
        <f>IF(C7=$Q$7,1,0)+IF(C7=$Q$8,1,0)</f>
        <v>0</v>
      </c>
      <c r="G7" s="229">
        <f>IF(C7=$Q$9,1,0)</f>
        <v>1</v>
      </c>
      <c r="I7" s="236">
        <f>VLOOKUP(70,親2!C:H,6,0)</f>
        <v>104.06978021538461</v>
      </c>
      <c r="J7" s="230">
        <f>VLOOKUP(I7,AE:AG,2)</f>
        <v>0</v>
      </c>
      <c r="K7" s="112">
        <f>VLOOKUP(I7,AE:AG,3)</f>
        <v>110</v>
      </c>
      <c r="L7" s="86">
        <f>I7*J7+K7</f>
        <v>110</v>
      </c>
      <c r="M7" s="112">
        <f>MAX(I7-L7,0)</f>
        <v>0</v>
      </c>
      <c r="Q7" s="86" t="s">
        <v>343</v>
      </c>
      <c r="AE7" s="181">
        <v>330</v>
      </c>
      <c r="AF7" s="183">
        <v>0.25</v>
      </c>
      <c r="AG7" s="181">
        <v>27.5</v>
      </c>
    </row>
    <row r="8" spans="2:33" x14ac:dyDescent="0.25">
      <c r="Q8" s="86" t="s">
        <v>333</v>
      </c>
      <c r="AE8">
        <v>410</v>
      </c>
      <c r="AF8" s="149">
        <v>0.15</v>
      </c>
      <c r="AG8">
        <v>68.5</v>
      </c>
    </row>
    <row r="9" spans="2:33" x14ac:dyDescent="0.25">
      <c r="C9" s="86" t="s">
        <v>345</v>
      </c>
      <c r="D9" s="112" t="s">
        <v>335</v>
      </c>
      <c r="E9" s="112" t="s">
        <v>336</v>
      </c>
      <c r="F9" s="86" t="s">
        <v>337</v>
      </c>
      <c r="Q9" s="86" t="s">
        <v>332</v>
      </c>
    </row>
    <row r="10" spans="2:33" x14ac:dyDescent="0.25">
      <c r="C10" s="86" t="s">
        <v>339</v>
      </c>
      <c r="D10" s="234">
        <v>26000</v>
      </c>
      <c r="E10" s="234">
        <v>19800</v>
      </c>
      <c r="F10" s="235">
        <v>5.8200000000000002E-2</v>
      </c>
      <c r="Q10" s="86"/>
    </row>
    <row r="11" spans="2:33" x14ac:dyDescent="0.25">
      <c r="C11" s="86" t="s">
        <v>341</v>
      </c>
      <c r="D11" s="234">
        <v>8200</v>
      </c>
      <c r="E11" s="234">
        <v>9500</v>
      </c>
      <c r="F11" s="235">
        <v>2.0899999999999998E-2</v>
      </c>
      <c r="Q11" s="86"/>
    </row>
    <row r="12" spans="2:33" ht="15" thickBot="1" x14ac:dyDescent="0.3">
      <c r="C12" s="86" t="s">
        <v>342</v>
      </c>
      <c r="D12" s="234">
        <v>5900</v>
      </c>
      <c r="E12" s="234">
        <v>10500</v>
      </c>
      <c r="F12" s="235">
        <v>1.67E-2</v>
      </c>
      <c r="Q12" s="86"/>
    </row>
    <row r="13" spans="2:33" x14ac:dyDescent="0.25">
      <c r="C13" s="86"/>
      <c r="D13" s="86" t="s">
        <v>335</v>
      </c>
      <c r="E13" s="86" t="s">
        <v>336</v>
      </c>
      <c r="F13" s="201" t="s">
        <v>337</v>
      </c>
      <c r="G13" s="231" t="s">
        <v>338</v>
      </c>
      <c r="H13" s="231" t="s">
        <v>159</v>
      </c>
      <c r="AE13">
        <v>770</v>
      </c>
      <c r="AF13" s="149">
        <v>0.05</v>
      </c>
      <c r="AG13">
        <v>145.5</v>
      </c>
    </row>
    <row r="14" spans="2:33" x14ac:dyDescent="0.25">
      <c r="C14" s="86" t="s">
        <v>339</v>
      </c>
      <c r="D14" s="112">
        <f>D10</f>
        <v>26000</v>
      </c>
      <c r="E14" s="112">
        <f>SUM($F$6:$G$7)*$E$10</f>
        <v>39600</v>
      </c>
      <c r="F14" s="35">
        <f>(MAX(0,D6-430000)+MAX(0,D7-430000))*F10</f>
        <v>27158.089040307725</v>
      </c>
      <c r="G14" s="232">
        <f>MIN(SUM(D14:F14),630000)</f>
        <v>92758.089040307721</v>
      </c>
      <c r="H14" s="232">
        <f t="shared" ref="H14:H19" si="0">G14/12</f>
        <v>7729.8407533589771</v>
      </c>
      <c r="AE14">
        <v>1000</v>
      </c>
      <c r="AG14">
        <v>195.5</v>
      </c>
    </row>
    <row r="15" spans="2:33" x14ac:dyDescent="0.25">
      <c r="C15" s="86" t="s">
        <v>341</v>
      </c>
      <c r="D15" s="112">
        <f>D11</f>
        <v>8200</v>
      </c>
      <c r="E15" s="112">
        <f>SUM($F$6:$G$7)*$E$11</f>
        <v>19000</v>
      </c>
      <c r="F15" s="35">
        <f>(MAX(0,D6-430000)+MAX(0,D7-430000))*F11</f>
        <v>9752.6470952307791</v>
      </c>
      <c r="G15" s="232">
        <f t="shared" ref="G15:G17" si="1">MIN(SUM(D15:F15),630000)</f>
        <v>36952.647095230779</v>
      </c>
      <c r="H15" s="232">
        <f t="shared" si="0"/>
        <v>3079.3872579358981</v>
      </c>
    </row>
    <row r="16" spans="2:33" x14ac:dyDescent="0.25">
      <c r="C16" s="86" t="s">
        <v>342</v>
      </c>
      <c r="D16" s="112">
        <f>IF(SUM(F6:F7)&gt;0,D12,0)</f>
        <v>0</v>
      </c>
      <c r="E16" s="112">
        <f>SUM($F$6:$F$7)*$E$12</f>
        <v>0</v>
      </c>
      <c r="F16" s="35">
        <f>(MAX(0,D6-430000)*F6+MAX(0,D7-430000)*F7)*F12</f>
        <v>0</v>
      </c>
      <c r="G16" s="232">
        <f t="shared" si="1"/>
        <v>0</v>
      </c>
      <c r="H16" s="232">
        <f t="shared" si="0"/>
        <v>0</v>
      </c>
    </row>
    <row r="17" spans="3:8" ht="15" thickBot="1" x14ac:dyDescent="0.3">
      <c r="C17" s="86" t="s">
        <v>35</v>
      </c>
      <c r="D17" s="112">
        <f>SUM(D14:D16)</f>
        <v>34200</v>
      </c>
      <c r="E17" s="95">
        <f>SUM(E14:E16)</f>
        <v>58600</v>
      </c>
      <c r="F17" s="240">
        <f>SUM(F14:F16)</f>
        <v>36910.736135538507</v>
      </c>
      <c r="G17" s="233">
        <f t="shared" si="1"/>
        <v>129710.73613553851</v>
      </c>
      <c r="H17" s="233">
        <f t="shared" si="0"/>
        <v>10809.228011294876</v>
      </c>
    </row>
    <row r="18" spans="3:8" x14ac:dyDescent="0.25">
      <c r="C18" s="141"/>
      <c r="D18" s="3"/>
      <c r="E18" s="243" t="s">
        <v>344</v>
      </c>
      <c r="F18" s="241" t="s">
        <v>40</v>
      </c>
      <c r="G18" s="238">
        <f>D$6/SUM($D$6:$D$7)*G$17</f>
        <v>129710.73613553851</v>
      </c>
      <c r="H18" s="238">
        <f t="shared" si="0"/>
        <v>10809.228011294876</v>
      </c>
    </row>
    <row r="19" spans="3:8" ht="15" thickBot="1" x14ac:dyDescent="0.3">
      <c r="C19" s="141"/>
      <c r="D19" s="3"/>
      <c r="E19" s="244"/>
      <c r="F19" s="242" t="s">
        <v>41</v>
      </c>
      <c r="G19" s="239">
        <f>D$7/SUM($D$6:$D$7)*G$17</f>
        <v>0</v>
      </c>
      <c r="H19" s="239">
        <f t="shared" si="0"/>
        <v>0</v>
      </c>
    </row>
    <row r="20" spans="3:8" ht="15" thickBot="1" x14ac:dyDescent="0.3">
      <c r="C20" s="141"/>
      <c r="D20" s="3"/>
      <c r="E20" s="3"/>
      <c r="G20" s="237"/>
      <c r="H20" s="237"/>
    </row>
    <row r="21" spans="3:8" x14ac:dyDescent="0.25">
      <c r="C21" s="141"/>
      <c r="D21" s="3"/>
      <c r="E21" s="243" t="s">
        <v>346</v>
      </c>
      <c r="F21" s="241" t="s">
        <v>40</v>
      </c>
      <c r="G21" s="238">
        <f>(MAX(0,D6-430000))*5.105%</f>
        <v>23821.657139307721</v>
      </c>
      <c r="H21" s="238">
        <f>G21/12</f>
        <v>1985.1380949423101</v>
      </c>
    </row>
    <row r="22" spans="3:8" ht="15" thickBot="1" x14ac:dyDescent="0.3">
      <c r="C22" s="141"/>
      <c r="D22" s="3"/>
      <c r="E22" s="244"/>
      <c r="F22" s="242" t="s">
        <v>41</v>
      </c>
      <c r="G22" s="239">
        <f>(MAX(0,D7-430000))*5.105%</f>
        <v>0</v>
      </c>
      <c r="H22" s="239">
        <f>G22/12</f>
        <v>0</v>
      </c>
    </row>
    <row r="23" spans="3:8" ht="15" thickBot="1" x14ac:dyDescent="0.3">
      <c r="C23" s="141"/>
      <c r="D23" s="3"/>
      <c r="E23" s="3"/>
      <c r="G23" s="237"/>
      <c r="H23" s="237"/>
    </row>
    <row r="24" spans="3:8" x14ac:dyDescent="0.25">
      <c r="C24" s="141"/>
      <c r="D24" s="3"/>
      <c r="E24" s="243" t="s">
        <v>347</v>
      </c>
      <c r="F24" s="241" t="s">
        <v>40</v>
      </c>
      <c r="G24" s="238">
        <f>SUM(G18,G21)</f>
        <v>153532.39327484622</v>
      </c>
      <c r="H24" s="238">
        <f t="shared" ref="H24:H25" si="2">SUM(H18,H21)</f>
        <v>12794.366106237187</v>
      </c>
    </row>
    <row r="25" spans="3:8" ht="15" thickBot="1" x14ac:dyDescent="0.3">
      <c r="C25" s="141"/>
      <c r="D25" s="3"/>
      <c r="E25" s="244"/>
      <c r="F25" s="242" t="s">
        <v>41</v>
      </c>
      <c r="G25" s="239">
        <f t="shared" ref="G25" si="3">SUM(G19,G22)</f>
        <v>0</v>
      </c>
      <c r="H25" s="239">
        <f t="shared" si="2"/>
        <v>0</v>
      </c>
    </row>
    <row r="26" spans="3:8" x14ac:dyDescent="0.25">
      <c r="C26" s="205"/>
    </row>
  </sheetData>
  <phoneticPr fontId="2"/>
  <dataValidations disablePrompts="1" count="1">
    <dataValidation type="list" allowBlank="1" showInputMessage="1" showErrorMessage="1" sqref="C6:C7" xr:uid="{00000000-0002-0000-1200-000000000000}">
      <formula1>$Q$6:$Q$12</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1:AY73"/>
  <sheetViews>
    <sheetView zoomScale="70" zoomScaleNormal="70" workbookViewId="0">
      <pane xSplit="3" ySplit="4" topLeftCell="D5" activePane="bottomRight" state="frozen"/>
      <selection activeCell="N63" sqref="N63"/>
      <selection pane="topRight" activeCell="N63" sqref="N63"/>
      <selection pane="bottomLeft" activeCell="N63" sqref="N63"/>
      <selection pane="bottomRight" activeCell="AO47" sqref="AO47"/>
    </sheetView>
  </sheetViews>
  <sheetFormatPr defaultRowHeight="14.25" outlineLevelRow="1" x14ac:dyDescent="0.25"/>
  <cols>
    <col min="1" max="1" width="4.375" style="78" customWidth="1"/>
    <col min="2" max="2" width="6.75" style="77" bestFit="1" customWidth="1"/>
    <col min="3" max="3" width="5.5" style="77" bestFit="1" customWidth="1"/>
    <col min="4" max="5" width="7.625" style="77" bestFit="1" customWidth="1"/>
    <col min="6" max="6" width="6" style="77" bestFit="1" customWidth="1"/>
    <col min="7" max="7" width="6" style="77" customWidth="1"/>
    <col min="8" max="8" width="7.625" style="77" bestFit="1" customWidth="1"/>
    <col min="9" max="9" width="3.25" style="77" bestFit="1" customWidth="1"/>
    <col min="10" max="10" width="7.625" style="77" bestFit="1" customWidth="1"/>
    <col min="11" max="11" width="6.75" style="77" customWidth="1"/>
    <col min="12" max="16" width="6.75" style="77" bestFit="1" customWidth="1"/>
    <col min="17" max="17" width="5.375" style="77" bestFit="1" customWidth="1"/>
    <col min="18" max="18" width="5.125" style="77" bestFit="1" customWidth="1"/>
    <col min="19" max="19" width="3.25" style="77" bestFit="1" customWidth="1"/>
    <col min="20" max="20" width="12.375" style="77" bestFit="1" customWidth="1"/>
    <col min="21" max="21" width="9" style="77" bestFit="1" customWidth="1"/>
    <col min="22" max="22" width="5.125" style="77" bestFit="1" customWidth="1"/>
    <col min="23" max="25" width="5.375" style="77" bestFit="1" customWidth="1"/>
    <col min="26" max="26" width="6.75" style="77" bestFit="1" customWidth="1"/>
    <col min="27" max="28" width="3.25" style="77" bestFit="1" customWidth="1"/>
    <col min="29" max="29" width="12.375" style="77" bestFit="1" customWidth="1"/>
    <col min="30" max="30" width="9" style="77" bestFit="1" customWidth="1"/>
    <col min="31" max="31" width="6.25" style="1" bestFit="1" customWidth="1"/>
    <col min="32" max="32" width="5.125" style="1" customWidth="1"/>
    <col min="33" max="33" width="5.125" style="1" bestFit="1" customWidth="1"/>
    <col min="34" max="35" width="6.25" style="1" bestFit="1" customWidth="1"/>
    <col min="36" max="36" width="7" style="1" customWidth="1"/>
    <col min="37" max="37" width="10.375" style="1" bestFit="1" customWidth="1"/>
    <col min="38" max="38" width="6.25" style="1" bestFit="1" customWidth="1"/>
    <col min="39" max="39" width="8.5" style="77" customWidth="1"/>
    <col min="40" max="40" width="6.25" style="1" bestFit="1" customWidth="1"/>
    <col min="41" max="43" width="8.125" style="1" bestFit="1" customWidth="1"/>
    <col min="44" max="44" width="9" style="78"/>
    <col min="45" max="46" width="8.125" style="1" bestFit="1" customWidth="1"/>
    <col min="47" max="47" width="9" style="78"/>
    <col min="48" max="48" width="6.25" style="1" bestFit="1" customWidth="1"/>
    <col min="49" max="16384" width="9" style="78"/>
  </cols>
  <sheetData>
    <row r="1" spans="2:51" x14ac:dyDescent="0.25">
      <c r="M1" s="77">
        <f>SUM(→:←!M1)</f>
        <v>106.92000000000003</v>
      </c>
      <c r="N1" s="77">
        <f>SUM(→:←!N1)</f>
        <v>39.6</v>
      </c>
      <c r="O1" s="77">
        <f>SUM(→:←!O1)</f>
        <v>13.200000000000001</v>
      </c>
      <c r="P1" s="77">
        <f>SUM(→:←!P1)</f>
        <v>10.560000000000002</v>
      </c>
      <c r="Q1" s="77">
        <f>SUM(→:←!Q1)</f>
        <v>6.6000000000000005</v>
      </c>
      <c r="V1" s="77">
        <f>SUM(→:←!V1)</f>
        <v>6</v>
      </c>
      <c r="W1" s="77">
        <f>SUM(→:←!W1)</f>
        <v>9.6000000000000014</v>
      </c>
    </row>
    <row r="2" spans="2:51" s="51" customFormat="1" x14ac:dyDescent="0.25">
      <c r="B2" s="45"/>
      <c r="C2" s="46"/>
      <c r="D2" s="47"/>
      <c r="E2" s="49"/>
      <c r="F2" s="49"/>
      <c r="G2" s="49"/>
      <c r="H2" s="49"/>
      <c r="I2" s="49"/>
      <c r="J2" s="50" t="s">
        <v>15</v>
      </c>
      <c r="K2" s="48"/>
      <c r="L2" s="49"/>
      <c r="M2" s="49"/>
      <c r="N2" s="49"/>
      <c r="O2" s="49"/>
      <c r="P2" s="49"/>
      <c r="Q2" s="49"/>
      <c r="R2" s="49"/>
      <c r="S2" s="49"/>
      <c r="T2" s="50"/>
      <c r="U2" s="50" t="s">
        <v>6</v>
      </c>
      <c r="V2" s="49"/>
      <c r="W2" s="49"/>
      <c r="X2" s="49"/>
      <c r="Y2" s="49"/>
      <c r="Z2" s="49"/>
      <c r="AA2" s="49"/>
      <c r="AB2" s="49"/>
      <c r="AC2" s="49"/>
      <c r="AD2" s="50" t="s">
        <v>6</v>
      </c>
      <c r="AE2" s="20"/>
      <c r="AF2" s="20"/>
      <c r="AG2" s="20"/>
      <c r="AH2" s="20"/>
      <c r="AI2" s="20"/>
      <c r="AJ2" s="20"/>
      <c r="AK2" s="20"/>
      <c r="AL2" s="21" t="s">
        <v>7</v>
      </c>
      <c r="AM2" s="50" t="s">
        <v>8</v>
      </c>
      <c r="AN2" s="20"/>
      <c r="AO2" s="189">
        <f>入力!BB43</f>
        <v>0.05</v>
      </c>
      <c r="AP2" s="21" t="s">
        <v>491</v>
      </c>
      <c r="AQ2" s="21"/>
      <c r="AS2" s="189"/>
      <c r="AT2" s="189"/>
      <c r="AV2" s="21" t="s">
        <v>475</v>
      </c>
    </row>
    <row r="3" spans="2:51" s="51" customFormat="1" x14ac:dyDescent="0.25">
      <c r="B3" s="52"/>
      <c r="C3" s="53"/>
      <c r="D3" s="54"/>
      <c r="E3" s="55"/>
      <c r="F3" s="55"/>
      <c r="G3" s="55"/>
      <c r="H3" s="55"/>
      <c r="I3" s="56"/>
      <c r="J3" s="57"/>
      <c r="K3" s="58"/>
      <c r="L3" s="59"/>
      <c r="M3" s="59"/>
      <c r="N3" s="59"/>
      <c r="O3" s="59"/>
      <c r="P3" s="59"/>
      <c r="Q3" s="59"/>
      <c r="R3" s="59"/>
      <c r="S3" s="59"/>
      <c r="T3" s="60" t="s">
        <v>38</v>
      </c>
      <c r="U3" s="57"/>
      <c r="V3" s="59"/>
      <c r="W3" s="59"/>
      <c r="X3" s="59"/>
      <c r="Y3" s="59"/>
      <c r="Z3" s="59"/>
      <c r="AA3" s="59"/>
      <c r="AB3" s="59"/>
      <c r="AC3" s="60" t="s">
        <v>294</v>
      </c>
      <c r="AD3" s="57"/>
      <c r="AE3" s="16"/>
      <c r="AF3" s="16"/>
      <c r="AG3" s="16"/>
      <c r="AH3" s="16"/>
      <c r="AI3" s="16"/>
      <c r="AJ3" s="16"/>
      <c r="AK3" s="26" t="s">
        <v>87</v>
      </c>
      <c r="AL3" s="22"/>
      <c r="AM3" s="57"/>
      <c r="AN3" s="179">
        <f>1-AO3</f>
        <v>0.7</v>
      </c>
      <c r="AO3" s="179">
        <v>0.3</v>
      </c>
      <c r="AP3" s="22"/>
      <c r="AQ3" s="22"/>
      <c r="AS3" s="179"/>
      <c r="AT3" s="179"/>
      <c r="AV3" s="22"/>
    </row>
    <row r="4" spans="2:51" s="70" customFormat="1" ht="75" thickBot="1" x14ac:dyDescent="0.3">
      <c r="B4" s="61" t="s">
        <v>16</v>
      </c>
      <c r="C4" s="87" t="s">
        <v>51</v>
      </c>
      <c r="D4" s="63" t="s">
        <v>33</v>
      </c>
      <c r="E4" s="62" t="s">
        <v>34</v>
      </c>
      <c r="F4" s="62" t="s">
        <v>165</v>
      </c>
      <c r="G4" s="62" t="s">
        <v>242</v>
      </c>
      <c r="H4" s="62" t="s">
        <v>243</v>
      </c>
      <c r="I4" s="64"/>
      <c r="J4" s="65"/>
      <c r="K4" s="191" t="s">
        <v>252</v>
      </c>
      <c r="L4" s="192" t="s">
        <v>284</v>
      </c>
      <c r="M4" s="67" t="s">
        <v>20</v>
      </c>
      <c r="N4" s="67" t="s">
        <v>21</v>
      </c>
      <c r="O4" s="67" t="s">
        <v>22</v>
      </c>
      <c r="P4" s="67" t="s">
        <v>23</v>
      </c>
      <c r="Q4" s="67" t="s">
        <v>24</v>
      </c>
      <c r="R4" s="67" t="s">
        <v>163</v>
      </c>
      <c r="S4" s="68"/>
      <c r="T4" s="69"/>
      <c r="U4" s="65"/>
      <c r="V4" s="66" t="s">
        <v>27</v>
      </c>
      <c r="W4" s="67" t="s">
        <v>28</v>
      </c>
      <c r="X4" s="67" t="s">
        <v>297</v>
      </c>
      <c r="Y4" s="67" t="s">
        <v>168</v>
      </c>
      <c r="Z4" s="67" t="s">
        <v>171</v>
      </c>
      <c r="AA4" s="67"/>
      <c r="AB4" s="68"/>
      <c r="AC4" s="69"/>
      <c r="AD4" s="65"/>
      <c r="AE4" s="11" t="s">
        <v>162</v>
      </c>
      <c r="AF4" s="12" t="s">
        <v>204</v>
      </c>
      <c r="AG4" s="12" t="s">
        <v>591</v>
      </c>
      <c r="AH4" s="12" t="s">
        <v>31</v>
      </c>
      <c r="AI4" s="12" t="s">
        <v>214</v>
      </c>
      <c r="AJ4" s="13" t="s">
        <v>274</v>
      </c>
      <c r="AK4" s="17" t="s">
        <v>35</v>
      </c>
      <c r="AL4" s="23"/>
      <c r="AM4" s="65"/>
      <c r="AN4" s="12" t="s">
        <v>217</v>
      </c>
      <c r="AO4" s="12" t="s">
        <v>216</v>
      </c>
      <c r="AP4" s="23"/>
      <c r="AQ4" s="23" t="s">
        <v>255</v>
      </c>
      <c r="AS4" s="12" t="s">
        <v>300</v>
      </c>
      <c r="AT4" s="12" t="s">
        <v>301</v>
      </c>
      <c r="AV4" s="23"/>
    </row>
    <row r="5" spans="2:51" s="70" customFormat="1" ht="15" thickTop="1" x14ac:dyDescent="0.25">
      <c r="B5" s="156" t="s">
        <v>218</v>
      </c>
      <c r="C5" s="157"/>
      <c r="D5" s="158"/>
      <c r="E5" s="159"/>
      <c r="F5" s="159"/>
      <c r="G5" s="159"/>
      <c r="H5" s="159"/>
      <c r="I5" s="160"/>
      <c r="J5" s="161"/>
      <c r="K5" s="162"/>
      <c r="L5" s="159"/>
      <c r="M5" s="159"/>
      <c r="N5" s="159"/>
      <c r="O5" s="159"/>
      <c r="P5" s="159"/>
      <c r="Q5" s="159"/>
      <c r="R5" s="159"/>
      <c r="S5" s="160"/>
      <c r="T5" s="163"/>
      <c r="U5" s="161"/>
      <c r="V5" s="162"/>
      <c r="W5" s="159"/>
      <c r="X5" s="159"/>
      <c r="Y5" s="159"/>
      <c r="Z5" s="159"/>
      <c r="AA5" s="159"/>
      <c r="AB5" s="160"/>
      <c r="AC5" s="163"/>
      <c r="AD5" s="161"/>
      <c r="AE5" s="164"/>
      <c r="AF5" s="165"/>
      <c r="AG5" s="165"/>
      <c r="AH5" s="165"/>
      <c r="AI5" s="165"/>
      <c r="AJ5" s="166"/>
      <c r="AK5" s="167"/>
      <c r="AL5" s="168"/>
      <c r="AM5" s="174">
        <f>SUM(→:←!AM5)</f>
        <v>0</v>
      </c>
      <c r="AN5" s="180">
        <f>SUM(→:←!AN5)</f>
        <v>0</v>
      </c>
      <c r="AO5" s="180">
        <f>SUM(→:←!AO5)</f>
        <v>0</v>
      </c>
      <c r="AP5" s="174">
        <f t="shared" ref="AP5:AP36" si="0">SUM(AN5:AO5)</f>
        <v>0</v>
      </c>
      <c r="AQ5" s="174"/>
      <c r="AS5" s="180"/>
      <c r="AT5" s="180"/>
      <c r="AV5" s="168"/>
    </row>
    <row r="6" spans="2:51" x14ac:dyDescent="0.25">
      <c r="B6" s="71">
        <f>入力!$D$6</f>
        <v>2022</v>
      </c>
      <c r="C6" s="72">
        <f>入力!$D$17</f>
        <v>24</v>
      </c>
      <c r="D6" s="73">
        <f>SUM(→:←!D6)</f>
        <v>452.83413449612442</v>
      </c>
      <c r="E6" s="72">
        <f>SUM(→:←!E6)</f>
        <v>356.57079999999996</v>
      </c>
      <c r="F6" s="72">
        <f>SUM(→:←!F6)</f>
        <v>0</v>
      </c>
      <c r="G6" s="72">
        <f>SUM(→:←!G6)</f>
        <v>0</v>
      </c>
      <c r="H6" s="72">
        <f>SUM(→:←!H6)</f>
        <v>0</v>
      </c>
      <c r="I6" s="74">
        <f>SUM(→:←!I6)</f>
        <v>0</v>
      </c>
      <c r="J6" s="75">
        <f>SUM(→:←!J6)</f>
        <v>356.57079999999996</v>
      </c>
      <c r="K6" s="71">
        <f>SUM(→:←!K6)</f>
        <v>96</v>
      </c>
      <c r="L6" s="72">
        <f>SUM(→:←!L6)</f>
        <v>0</v>
      </c>
      <c r="M6" s="72">
        <f>SUM(→:←!M6)</f>
        <v>71.280000000000015</v>
      </c>
      <c r="N6" s="72">
        <f>SUM(→:←!N6)</f>
        <v>26.400000000000002</v>
      </c>
      <c r="O6" s="72">
        <f>SUM(→:←!O6)</f>
        <v>9.9</v>
      </c>
      <c r="P6" s="72">
        <f>SUM(→:←!P6)</f>
        <v>7.9200000000000017</v>
      </c>
      <c r="Q6" s="72">
        <f>SUM(→:←!Q6)</f>
        <v>4.95</v>
      </c>
      <c r="R6" s="72">
        <f>SUM(→:←!R6)</f>
        <v>12</v>
      </c>
      <c r="S6" s="74">
        <f>SUM(→:←!S6)</f>
        <v>0</v>
      </c>
      <c r="T6" s="76">
        <f>SUM(→:←!T6)</f>
        <v>228.45000000000002</v>
      </c>
      <c r="U6" s="75">
        <f>SUM(→:←!U6)</f>
        <v>128.12079999999997</v>
      </c>
      <c r="V6" s="71">
        <f>SUM(→:←!V6)</f>
        <v>6</v>
      </c>
      <c r="W6" s="72">
        <f>SUM(→:←!W6)</f>
        <v>4.8000000000000007</v>
      </c>
      <c r="X6" s="72">
        <f>SUM(→:←!X6)</f>
        <v>0</v>
      </c>
      <c r="Y6" s="72">
        <f>SUM(→:←!Y6)</f>
        <v>0</v>
      </c>
      <c r="Z6" s="72">
        <f>SUM(→:←!Z6)</f>
        <v>0</v>
      </c>
      <c r="AA6" s="72">
        <f>SUM(→:←!AA6)</f>
        <v>0</v>
      </c>
      <c r="AB6" s="74">
        <f>SUM(→:←!AB6)</f>
        <v>0</v>
      </c>
      <c r="AC6" s="76">
        <f>SUM(→:←!AC6)</f>
        <v>10.8</v>
      </c>
      <c r="AD6" s="75">
        <f>SUM(→:←!AD6)</f>
        <v>117.32079999999996</v>
      </c>
      <c r="AE6" s="5">
        <f>SUM(→:←!AE6)</f>
        <v>48</v>
      </c>
      <c r="AF6" s="3">
        <f>SUM(→:←!AF6)</f>
        <v>0</v>
      </c>
      <c r="AG6" s="3">
        <f>SUM(→:←!AG6)</f>
        <v>3</v>
      </c>
      <c r="AH6" s="3">
        <f>SUM(→:←!AH6)</f>
        <v>0</v>
      </c>
      <c r="AI6" s="3">
        <f>SUM(→:←!AI6)</f>
        <v>0</v>
      </c>
      <c r="AJ6" s="14">
        <f>SUM(→:←!AJ6)</f>
        <v>21.5</v>
      </c>
      <c r="AK6" s="18">
        <f>SUM(→:←!AK6)</f>
        <v>72.5</v>
      </c>
      <c r="AL6" s="24">
        <f>SUM(→:←!AL6)</f>
        <v>44.820799999999963</v>
      </c>
      <c r="AM6" s="75">
        <f>SUM(→:←!AM6)</f>
        <v>44.820799999999963</v>
      </c>
      <c r="AN6" s="1">
        <f>AN5+AL6*AN$3</f>
        <v>31.37455999999997</v>
      </c>
      <c r="AO6" s="1">
        <f>AO5*(1+$AO$2)+AL6*AO$3</f>
        <v>13.446239999999989</v>
      </c>
      <c r="AP6" s="24">
        <f>SUM(AN6:AO6)</f>
        <v>44.820799999999963</v>
      </c>
      <c r="AQ6" s="24">
        <f>(AP6-AM6)*80%</f>
        <v>0</v>
      </c>
      <c r="AS6" s="1">
        <f>SUM(K6:$K$70)</f>
        <v>5181.5997743697453</v>
      </c>
      <c r="AT6" s="1">
        <f>AM6-AS6</f>
        <v>-5136.7789743697449</v>
      </c>
      <c r="AV6" s="24">
        <f>T6+AC6+AK6</f>
        <v>311.75</v>
      </c>
      <c r="AX6" s="78">
        <f t="shared" ref="AX6" si="1">IF(AY6="",AV6+10000,AV6*1.2)</f>
        <v>10311.75</v>
      </c>
      <c r="AY6" s="78" t="str">
        <f>IF($AH6&gt;0,"車,","")&amp;IF($AF6&gt;0,"リフォーム,","")&amp;IF(子1!C6=18,"大学入学,","")&amp;IF(子2!C6=18,"大学入学,","")&amp;IF(子3!C6=18,"大学入学,","")&amp;IF(子4!C6=18,"大学入学,","")</f>
        <v/>
      </c>
    </row>
    <row r="7" spans="2:51" x14ac:dyDescent="0.25">
      <c r="B7" s="71">
        <f t="shared" ref="B7:B38" si="2">B6+1</f>
        <v>2023</v>
      </c>
      <c r="C7" s="72">
        <f t="shared" ref="C7:C38" si="3">C6+1</f>
        <v>25</v>
      </c>
      <c r="D7" s="73">
        <f>SUM(→:←!D7)</f>
        <v>467.99575891539098</v>
      </c>
      <c r="E7" s="72">
        <f>SUM(→:←!E7)</f>
        <v>374.17079999999999</v>
      </c>
      <c r="F7" s="72">
        <f>SUM(→:←!F7)</f>
        <v>0</v>
      </c>
      <c r="G7" s="72">
        <f>SUM(→:←!G7)</f>
        <v>0</v>
      </c>
      <c r="H7" s="72">
        <f>SUM(→:←!H7)</f>
        <v>0</v>
      </c>
      <c r="I7" s="74">
        <f>SUM(→:←!I7)</f>
        <v>0</v>
      </c>
      <c r="J7" s="75">
        <f>SUM(→:←!J7)</f>
        <v>374.17079999999999</v>
      </c>
      <c r="K7" s="71">
        <f>SUM(→:←!K7)</f>
        <v>96</v>
      </c>
      <c r="L7" s="72">
        <f>SUM(→:←!L7)</f>
        <v>0</v>
      </c>
      <c r="M7" s="72">
        <f>SUM(→:←!M7)</f>
        <v>71.280000000000015</v>
      </c>
      <c r="N7" s="72">
        <f>SUM(→:←!N7)</f>
        <v>26.400000000000002</v>
      </c>
      <c r="O7" s="72">
        <f>SUM(→:←!O7)</f>
        <v>9.9</v>
      </c>
      <c r="P7" s="72">
        <f>SUM(→:←!P7)</f>
        <v>7.9200000000000017</v>
      </c>
      <c r="Q7" s="72">
        <f>SUM(→:←!Q7)</f>
        <v>4.95</v>
      </c>
      <c r="R7" s="72">
        <f>SUM(→:←!R7)</f>
        <v>12</v>
      </c>
      <c r="S7" s="74">
        <f>SUM(→:←!S7)</f>
        <v>0</v>
      </c>
      <c r="T7" s="76">
        <f>SUM(→:←!T7)</f>
        <v>228.45000000000002</v>
      </c>
      <c r="U7" s="75">
        <f>SUM(→:←!U7)</f>
        <v>145.7208</v>
      </c>
      <c r="V7" s="71">
        <f>SUM(→:←!V7)</f>
        <v>6</v>
      </c>
      <c r="W7" s="72">
        <f>SUM(→:←!W7)</f>
        <v>4.8000000000000007</v>
      </c>
      <c r="X7" s="72">
        <f>SUM(→:←!X7)</f>
        <v>0</v>
      </c>
      <c r="Y7" s="72">
        <f>SUM(→:←!Y7)</f>
        <v>0</v>
      </c>
      <c r="Z7" s="72">
        <f>SUM(→:←!Z7)</f>
        <v>0</v>
      </c>
      <c r="AA7" s="72">
        <f>SUM(→:←!AA7)</f>
        <v>0</v>
      </c>
      <c r="AB7" s="74">
        <f>SUM(→:←!AB7)</f>
        <v>0</v>
      </c>
      <c r="AC7" s="76">
        <f>SUM(→:←!AC7)</f>
        <v>10.8</v>
      </c>
      <c r="AD7" s="75">
        <f>SUM(→:←!AD7)</f>
        <v>134.92079999999999</v>
      </c>
      <c r="AE7" s="5">
        <f>SUM(→:←!AE7)</f>
        <v>48</v>
      </c>
      <c r="AF7" s="3">
        <f>SUM(→:←!AF7)</f>
        <v>0</v>
      </c>
      <c r="AG7" s="3">
        <f>SUM(→:←!AG7)</f>
        <v>0</v>
      </c>
      <c r="AH7" s="3">
        <f>SUM(→:←!AH7)</f>
        <v>0</v>
      </c>
      <c r="AI7" s="3">
        <f>SUM(→:←!AI7)</f>
        <v>0</v>
      </c>
      <c r="AJ7" s="14">
        <f>SUM(→:←!AJ7)</f>
        <v>21.5</v>
      </c>
      <c r="AK7" s="18">
        <f>SUM(→:←!AK7)</f>
        <v>69.5</v>
      </c>
      <c r="AL7" s="24">
        <f>SUM(→:←!AL7)</f>
        <v>65.420799999999986</v>
      </c>
      <c r="AM7" s="75">
        <f>SUM(→:←!AM7)</f>
        <v>110.24159999999995</v>
      </c>
      <c r="AN7" s="1">
        <f t="shared" ref="AN7:AN70" si="4">AN6+AL7*AN$3</f>
        <v>77.169119999999964</v>
      </c>
      <c r="AO7" s="1">
        <f>AO6*(1+$AO$2)+AL7*AO$3</f>
        <v>33.744791999999983</v>
      </c>
      <c r="AP7" s="24">
        <f t="shared" si="0"/>
        <v>110.91391199999995</v>
      </c>
      <c r="AQ7" s="24">
        <f t="shared" ref="AQ7:AQ70" si="5">(AP7-AM7)*80%</f>
        <v>0.53784960000000415</v>
      </c>
      <c r="AS7" s="1">
        <f>SUM(K7:$K$70)</f>
        <v>5085.5997743697453</v>
      </c>
      <c r="AT7" s="1">
        <f t="shared" ref="AT7:AT70" si="6">AM7-AS7</f>
        <v>-4975.358174369745</v>
      </c>
      <c r="AV7" s="24">
        <f t="shared" ref="AV7:AV70" si="7">T7+AC7+AK7</f>
        <v>308.75</v>
      </c>
      <c r="AX7" s="78">
        <f>IF(AY7="",AV7+10000,AV7*1.2)</f>
        <v>10308.75</v>
      </c>
      <c r="AY7" s="78" t="str">
        <f>IF($AH7&gt;0,"車,","")&amp;IF($AF7&gt;0,"リフォーム,","")&amp;IF(子1!C7=18,"大学入学,","")&amp;IF(子2!C7=18,"大学入学,","")&amp;IF(子3!C7=18,"大学入学,","")&amp;IF(子4!C7=18,"大学入学,","")</f>
        <v/>
      </c>
    </row>
    <row r="8" spans="2:51" x14ac:dyDescent="0.25">
      <c r="B8" s="71">
        <f t="shared" si="2"/>
        <v>2024</v>
      </c>
      <c r="C8" s="72">
        <f t="shared" si="3"/>
        <v>26</v>
      </c>
      <c r="D8" s="73">
        <f>SUM(→:←!D8)</f>
        <v>482.1163965694131</v>
      </c>
      <c r="E8" s="72">
        <f>SUM(→:←!E8)</f>
        <v>382.9708</v>
      </c>
      <c r="F8" s="72">
        <f>SUM(→:←!F8)</f>
        <v>0</v>
      </c>
      <c r="G8" s="72">
        <f>SUM(→:←!G8)</f>
        <v>0</v>
      </c>
      <c r="H8" s="72">
        <f>SUM(→:←!H8)</f>
        <v>0</v>
      </c>
      <c r="I8" s="74">
        <f>SUM(→:←!I8)</f>
        <v>0</v>
      </c>
      <c r="J8" s="75">
        <f>SUM(→:←!J8)</f>
        <v>382.9708</v>
      </c>
      <c r="K8" s="71">
        <f>SUM(→:←!K8)</f>
        <v>96</v>
      </c>
      <c r="L8" s="72">
        <f>SUM(→:←!L8)</f>
        <v>0</v>
      </c>
      <c r="M8" s="72">
        <f>SUM(→:←!M8)</f>
        <v>71.280000000000015</v>
      </c>
      <c r="N8" s="72">
        <f>SUM(→:←!N8)</f>
        <v>26.400000000000002</v>
      </c>
      <c r="O8" s="72">
        <f>SUM(→:←!O8)</f>
        <v>9.9</v>
      </c>
      <c r="P8" s="72">
        <f>SUM(→:←!P8)</f>
        <v>7.9200000000000017</v>
      </c>
      <c r="Q8" s="72">
        <f>SUM(→:←!Q8)</f>
        <v>4.95</v>
      </c>
      <c r="R8" s="72">
        <f>SUM(→:←!R8)</f>
        <v>12</v>
      </c>
      <c r="S8" s="74">
        <f>SUM(→:←!S8)</f>
        <v>0</v>
      </c>
      <c r="T8" s="76">
        <f>SUM(→:←!T8)</f>
        <v>228.45000000000002</v>
      </c>
      <c r="U8" s="75">
        <f>SUM(→:←!U8)</f>
        <v>154.52080000000001</v>
      </c>
      <c r="V8" s="71">
        <f>SUM(→:←!V8)</f>
        <v>6</v>
      </c>
      <c r="W8" s="72">
        <f>SUM(→:←!W8)</f>
        <v>4.8000000000000007</v>
      </c>
      <c r="X8" s="72">
        <f>SUM(→:←!X8)</f>
        <v>0</v>
      </c>
      <c r="Y8" s="72">
        <f>SUM(→:←!Y8)</f>
        <v>0</v>
      </c>
      <c r="Z8" s="72">
        <f>SUM(→:←!Z8)</f>
        <v>0</v>
      </c>
      <c r="AA8" s="72">
        <f>SUM(→:←!AA8)</f>
        <v>0</v>
      </c>
      <c r="AB8" s="74">
        <f>SUM(→:←!AB8)</f>
        <v>0</v>
      </c>
      <c r="AC8" s="76">
        <f>SUM(→:←!AC8)</f>
        <v>10.8</v>
      </c>
      <c r="AD8" s="75">
        <f>SUM(→:←!AD8)</f>
        <v>143.7208</v>
      </c>
      <c r="AE8" s="5">
        <f>SUM(→:←!AE8)</f>
        <v>48</v>
      </c>
      <c r="AF8" s="3">
        <f>SUM(→:←!AF8)</f>
        <v>0</v>
      </c>
      <c r="AG8" s="3">
        <f>SUM(→:←!AG8)</f>
        <v>0</v>
      </c>
      <c r="AH8" s="3">
        <f>SUM(→:←!AH8)</f>
        <v>0</v>
      </c>
      <c r="AI8" s="3">
        <f>SUM(→:←!AI8)</f>
        <v>0</v>
      </c>
      <c r="AJ8" s="14">
        <f>SUM(→:←!AJ8)</f>
        <v>21.5</v>
      </c>
      <c r="AK8" s="18">
        <f>SUM(→:←!AK8)</f>
        <v>69.5</v>
      </c>
      <c r="AL8" s="24">
        <f>SUM(→:←!AL8)</f>
        <v>74.220799999999997</v>
      </c>
      <c r="AM8" s="75">
        <f>SUM(→:←!AM8)</f>
        <v>184.46239999999989</v>
      </c>
      <c r="AN8" s="1">
        <f t="shared" si="4"/>
        <v>129.12367999999995</v>
      </c>
      <c r="AO8" s="1">
        <f t="shared" ref="AO8:AO70" si="8">AO7*(1+$AO$2)+AL8*AO$3</f>
        <v>57.698271599999984</v>
      </c>
      <c r="AP8" s="24">
        <f t="shared" si="0"/>
        <v>186.82195159999992</v>
      </c>
      <c r="AQ8" s="24">
        <f t="shared" si="5"/>
        <v>1.8876412800000253</v>
      </c>
      <c r="AS8" s="1">
        <f>SUM(K8:$K$70)</f>
        <v>4989.5997743697453</v>
      </c>
      <c r="AT8" s="1">
        <f t="shared" si="6"/>
        <v>-4805.1373743697459</v>
      </c>
      <c r="AV8" s="24">
        <f t="shared" si="7"/>
        <v>308.75</v>
      </c>
      <c r="AX8" s="78">
        <f t="shared" ref="AX8:AX70" si="9">IF(AY8="",AV8+10000,AV8*1.2)</f>
        <v>10308.75</v>
      </c>
      <c r="AY8" s="78" t="str">
        <f>IF($AH8&gt;0,"車,","")&amp;IF($AF8&gt;0,"リフォーム,","")&amp;IF(子1!C8=18,"大学入学,","")&amp;IF(子2!C8=18,"大学入学,","")&amp;IF(子3!C8=18,"大学入学,","")&amp;IF(子4!C8=18,"大学入学,","")</f>
        <v/>
      </c>
    </row>
    <row r="9" spans="2:51" x14ac:dyDescent="0.25">
      <c r="B9" s="71">
        <f t="shared" si="2"/>
        <v>2025</v>
      </c>
      <c r="C9" s="72">
        <f t="shared" si="3"/>
        <v>27</v>
      </c>
      <c r="D9" s="73">
        <f>SUM(→:←!D9)</f>
        <v>496.66424171407061</v>
      </c>
      <c r="E9" s="72">
        <f>SUM(→:←!E9)</f>
        <v>397.94562000000002</v>
      </c>
      <c r="F9" s="72">
        <f>SUM(→:←!F9)</f>
        <v>0</v>
      </c>
      <c r="G9" s="72">
        <f>SUM(→:←!G9)</f>
        <v>0</v>
      </c>
      <c r="H9" s="72">
        <f>SUM(→:←!H9)</f>
        <v>0</v>
      </c>
      <c r="I9" s="74">
        <f>SUM(→:←!I9)</f>
        <v>0</v>
      </c>
      <c r="J9" s="75">
        <f>SUM(→:←!J9)</f>
        <v>397.94562000000002</v>
      </c>
      <c r="K9" s="71">
        <f>SUM(→:←!K9)</f>
        <v>96</v>
      </c>
      <c r="L9" s="72">
        <f>SUM(→:←!L9)</f>
        <v>0</v>
      </c>
      <c r="M9" s="72">
        <f>SUM(→:←!M9)</f>
        <v>71.280000000000015</v>
      </c>
      <c r="N9" s="72">
        <f>SUM(→:←!N9)</f>
        <v>26.400000000000002</v>
      </c>
      <c r="O9" s="72">
        <f>SUM(→:←!O9)</f>
        <v>9.9</v>
      </c>
      <c r="P9" s="72">
        <f>SUM(→:←!P9)</f>
        <v>7.9200000000000017</v>
      </c>
      <c r="Q9" s="72">
        <f>SUM(→:←!Q9)</f>
        <v>4.95</v>
      </c>
      <c r="R9" s="72">
        <f>SUM(→:←!R9)</f>
        <v>12</v>
      </c>
      <c r="S9" s="74">
        <f>SUM(→:←!S9)</f>
        <v>0</v>
      </c>
      <c r="T9" s="76">
        <f>SUM(→:←!T9)</f>
        <v>228.45000000000002</v>
      </c>
      <c r="U9" s="75">
        <f>SUM(→:←!U9)</f>
        <v>169.49562000000003</v>
      </c>
      <c r="V9" s="71">
        <f>SUM(→:←!V9)</f>
        <v>6</v>
      </c>
      <c r="W9" s="72">
        <f>SUM(→:←!W9)</f>
        <v>4.8000000000000007</v>
      </c>
      <c r="X9" s="72">
        <f>SUM(→:←!X9)</f>
        <v>0</v>
      </c>
      <c r="Y9" s="72">
        <f>SUM(→:←!Y9)</f>
        <v>0</v>
      </c>
      <c r="Z9" s="72">
        <f>SUM(→:←!Z9)</f>
        <v>0</v>
      </c>
      <c r="AA9" s="72">
        <f>SUM(→:←!AA9)</f>
        <v>0</v>
      </c>
      <c r="AB9" s="74">
        <f>SUM(→:←!AB9)</f>
        <v>0</v>
      </c>
      <c r="AC9" s="76">
        <f>SUM(→:←!AC9)</f>
        <v>10.8</v>
      </c>
      <c r="AD9" s="75">
        <f>SUM(→:←!AD9)</f>
        <v>158.69561999999999</v>
      </c>
      <c r="AE9" s="5">
        <f>SUM(→:←!AE9)</f>
        <v>48</v>
      </c>
      <c r="AF9" s="3">
        <f>SUM(→:←!AF9)</f>
        <v>0</v>
      </c>
      <c r="AG9" s="3">
        <f>SUM(→:←!AG9)</f>
        <v>0</v>
      </c>
      <c r="AH9" s="3">
        <f>SUM(→:←!AH9)</f>
        <v>300</v>
      </c>
      <c r="AI9" s="3">
        <f>SUM(→:←!AI9)</f>
        <v>0</v>
      </c>
      <c r="AJ9" s="14">
        <f>SUM(→:←!AJ9)</f>
        <v>21.5</v>
      </c>
      <c r="AK9" s="18">
        <f>SUM(→:←!AK9)</f>
        <v>369.5</v>
      </c>
      <c r="AL9" s="24">
        <f>SUM(→:←!AL9)</f>
        <v>-210.80438000000001</v>
      </c>
      <c r="AM9" s="75">
        <f>SUM(→:←!AM9)</f>
        <v>-26.341980000000149</v>
      </c>
      <c r="AN9" s="1">
        <f t="shared" si="4"/>
        <v>-18.439386000000042</v>
      </c>
      <c r="AO9" s="1">
        <f t="shared" si="8"/>
        <v>-2.6581288200000159</v>
      </c>
      <c r="AP9" s="24">
        <f t="shared" si="0"/>
        <v>-21.097514820000058</v>
      </c>
      <c r="AQ9" s="24">
        <f t="shared" si="5"/>
        <v>4.1955721440000735</v>
      </c>
      <c r="AS9" s="1">
        <f>SUM(K9:$K$70)</f>
        <v>4893.5997743697462</v>
      </c>
      <c r="AT9" s="1">
        <f t="shared" si="6"/>
        <v>-4919.9417543697464</v>
      </c>
      <c r="AV9" s="24">
        <f t="shared" si="7"/>
        <v>608.75</v>
      </c>
      <c r="AX9" s="78">
        <f t="shared" si="9"/>
        <v>730.5</v>
      </c>
      <c r="AY9" s="78" t="str">
        <f>IF($AH9&gt;0,"車,","")&amp;IF($AF9&gt;0,"リフォーム,","")&amp;IF(子1!C9=18,"大学入学,","")&amp;IF(子2!C9=18,"大学入学,","")&amp;IF(子3!C9=18,"大学入学,","")&amp;IF(子4!C9=18,"大学入学,","")</f>
        <v>車,</v>
      </c>
    </row>
    <row r="10" spans="2:51" x14ac:dyDescent="0.25">
      <c r="B10" s="71">
        <f t="shared" si="2"/>
        <v>2026</v>
      </c>
      <c r="C10" s="72">
        <f t="shared" si="3"/>
        <v>28</v>
      </c>
      <c r="D10" s="73">
        <f>SUM(→:←!D10)</f>
        <v>511.28058730480529</v>
      </c>
      <c r="E10" s="72">
        <f>SUM(→:←!E10)</f>
        <v>424.74562000000003</v>
      </c>
      <c r="F10" s="72">
        <f>SUM(→:←!F10)</f>
        <v>-59.039315999999999</v>
      </c>
      <c r="G10" s="72">
        <f>SUM(→:←!G10)</f>
        <v>0</v>
      </c>
      <c r="H10" s="72">
        <f>SUM(→:←!H10)</f>
        <v>0</v>
      </c>
      <c r="I10" s="74">
        <f>SUM(→:←!I10)</f>
        <v>0</v>
      </c>
      <c r="J10" s="75">
        <f>SUM(→:←!J10)</f>
        <v>365.70630400000005</v>
      </c>
      <c r="K10" s="71">
        <f>SUM(→:←!K10)</f>
        <v>96</v>
      </c>
      <c r="L10" s="72">
        <f>SUM(→:←!L10)</f>
        <v>0</v>
      </c>
      <c r="M10" s="72">
        <f>SUM(→:←!M10)</f>
        <v>89.100000000000023</v>
      </c>
      <c r="N10" s="72">
        <f>SUM(→:←!N10)</f>
        <v>33</v>
      </c>
      <c r="O10" s="72">
        <f>SUM(→:←!O10)</f>
        <v>11.55</v>
      </c>
      <c r="P10" s="72">
        <f>SUM(→:←!P10)</f>
        <v>9.240000000000002</v>
      </c>
      <c r="Q10" s="72">
        <f>SUM(→:←!Q10)</f>
        <v>5.7750000000000004</v>
      </c>
      <c r="R10" s="72">
        <f>SUM(→:←!R10)</f>
        <v>12</v>
      </c>
      <c r="S10" s="74">
        <f>SUM(→:←!S10)</f>
        <v>0</v>
      </c>
      <c r="T10" s="76">
        <f>SUM(→:←!T10)</f>
        <v>256.66500000000002</v>
      </c>
      <c r="U10" s="75">
        <f>SUM(→:←!U10)</f>
        <v>109.041304</v>
      </c>
      <c r="V10" s="71">
        <f>SUM(→:←!V10)</f>
        <v>6</v>
      </c>
      <c r="W10" s="72">
        <f>SUM(→:←!W10)</f>
        <v>4.8000000000000007</v>
      </c>
      <c r="X10" s="72">
        <f>SUM(→:←!X10)</f>
        <v>0</v>
      </c>
      <c r="Y10" s="72">
        <f>SUM(→:←!Y10)</f>
        <v>0</v>
      </c>
      <c r="Z10" s="72">
        <f>SUM(→:←!Z10)</f>
        <v>36</v>
      </c>
      <c r="AA10" s="72">
        <f>SUM(→:←!AA10)</f>
        <v>0</v>
      </c>
      <c r="AB10" s="74">
        <f>SUM(→:←!AB10)</f>
        <v>0</v>
      </c>
      <c r="AC10" s="76">
        <f>SUM(→:←!AC10)</f>
        <v>46.8</v>
      </c>
      <c r="AD10" s="75">
        <f>SUM(→:←!AD10)</f>
        <v>62.241304000000014</v>
      </c>
      <c r="AE10" s="5">
        <f>SUM(→:←!AE10)</f>
        <v>54</v>
      </c>
      <c r="AF10" s="3">
        <f>SUM(→:←!AF10)</f>
        <v>0</v>
      </c>
      <c r="AG10" s="3">
        <f>SUM(→:←!AG10)</f>
        <v>0</v>
      </c>
      <c r="AH10" s="3">
        <f>SUM(→:←!AH10)</f>
        <v>0</v>
      </c>
      <c r="AI10" s="3">
        <f>SUM(→:←!AI10)</f>
        <v>0</v>
      </c>
      <c r="AJ10" s="14">
        <f>SUM(→:←!AJ10)</f>
        <v>21.5</v>
      </c>
      <c r="AK10" s="18">
        <f>SUM(→:←!AK10)</f>
        <v>75.5</v>
      </c>
      <c r="AL10" s="24">
        <f>SUM(→:←!AL10)</f>
        <v>-13.258695999999986</v>
      </c>
      <c r="AM10" s="75">
        <f>SUM(→:←!AM10)</f>
        <v>-39.600676000000135</v>
      </c>
      <c r="AN10" s="1">
        <f t="shared" si="4"/>
        <v>-27.720473200000029</v>
      </c>
      <c r="AO10" s="1">
        <f t="shared" si="8"/>
        <v>-6.7686440610000123</v>
      </c>
      <c r="AP10" s="24">
        <f t="shared" si="0"/>
        <v>-34.48911726100004</v>
      </c>
      <c r="AQ10" s="24">
        <f t="shared" si="5"/>
        <v>4.0892469912000768</v>
      </c>
      <c r="AS10" s="1">
        <f>SUM(K10:$K$70)</f>
        <v>4797.5997743697462</v>
      </c>
      <c r="AT10" s="1">
        <f t="shared" si="6"/>
        <v>-4837.2004503697462</v>
      </c>
      <c r="AV10" s="24">
        <f t="shared" si="7"/>
        <v>378.96500000000003</v>
      </c>
      <c r="AX10" s="78">
        <f t="shared" si="9"/>
        <v>10378.965</v>
      </c>
      <c r="AY10" s="78" t="str">
        <f>IF($AH10&gt;0,"車,","")&amp;IF($AF10&gt;0,"リフォーム,","")&amp;IF(子1!C10=18,"大学入学,","")&amp;IF(子2!C10=18,"大学入学,","")&amp;IF(子3!C10=18,"大学入学,","")&amp;IF(子4!C10=18,"大学入学,","")</f>
        <v/>
      </c>
    </row>
    <row r="11" spans="2:51" x14ac:dyDescent="0.25">
      <c r="B11" s="71">
        <f t="shared" si="2"/>
        <v>2027</v>
      </c>
      <c r="C11" s="72">
        <f t="shared" si="3"/>
        <v>29</v>
      </c>
      <c r="D11" s="73">
        <f>SUM(→:←!D11)</f>
        <v>526.32707773079233</v>
      </c>
      <c r="E11" s="72">
        <f>SUM(→:←!E11)</f>
        <v>430.44584000000003</v>
      </c>
      <c r="F11" s="72">
        <f>SUM(→:←!F11)</f>
        <v>-33.736752000000003</v>
      </c>
      <c r="G11" s="72">
        <f>SUM(→:←!G11)</f>
        <v>0</v>
      </c>
      <c r="H11" s="72">
        <f>SUM(→:←!H11)</f>
        <v>0</v>
      </c>
      <c r="I11" s="74">
        <f>SUM(→:←!I11)</f>
        <v>0</v>
      </c>
      <c r="J11" s="75">
        <f>SUM(→:←!J11)</f>
        <v>396.70908800000001</v>
      </c>
      <c r="K11" s="71">
        <f>SUM(→:←!K11)</f>
        <v>96</v>
      </c>
      <c r="L11" s="72">
        <f>SUM(→:←!L11)</f>
        <v>0</v>
      </c>
      <c r="M11" s="72">
        <f>SUM(→:←!M11)</f>
        <v>89.100000000000023</v>
      </c>
      <c r="N11" s="72">
        <f>SUM(→:←!N11)</f>
        <v>33</v>
      </c>
      <c r="O11" s="72">
        <f>SUM(→:←!O11)</f>
        <v>11.55</v>
      </c>
      <c r="P11" s="72">
        <f>SUM(→:←!P11)</f>
        <v>9.240000000000002</v>
      </c>
      <c r="Q11" s="72">
        <f>SUM(→:←!Q11)</f>
        <v>5.7750000000000004</v>
      </c>
      <c r="R11" s="72">
        <f>SUM(→:←!R11)</f>
        <v>12</v>
      </c>
      <c r="S11" s="74">
        <f>SUM(→:←!S11)</f>
        <v>0</v>
      </c>
      <c r="T11" s="76">
        <f>SUM(→:←!T11)</f>
        <v>256.66500000000002</v>
      </c>
      <c r="U11" s="75">
        <f>SUM(→:←!U11)</f>
        <v>140.04408800000002</v>
      </c>
      <c r="V11" s="71">
        <f>SUM(→:←!V11)</f>
        <v>6</v>
      </c>
      <c r="W11" s="72">
        <f>SUM(→:←!W11)</f>
        <v>4.8000000000000007</v>
      </c>
      <c r="X11" s="72">
        <f>SUM(→:←!X11)</f>
        <v>0</v>
      </c>
      <c r="Y11" s="72">
        <f>SUM(→:←!Y11)</f>
        <v>0</v>
      </c>
      <c r="Z11" s="72">
        <f>SUM(→:←!Z11)</f>
        <v>36</v>
      </c>
      <c r="AA11" s="72">
        <f>SUM(→:←!AA11)</f>
        <v>0</v>
      </c>
      <c r="AB11" s="74">
        <f>SUM(→:←!AB11)</f>
        <v>0</v>
      </c>
      <c r="AC11" s="76">
        <f>SUM(→:←!AC11)</f>
        <v>46.8</v>
      </c>
      <c r="AD11" s="75">
        <f>SUM(→:←!AD11)</f>
        <v>93.244088000000005</v>
      </c>
      <c r="AE11" s="5">
        <f>SUM(→:←!AE11)</f>
        <v>54</v>
      </c>
      <c r="AF11" s="3">
        <f>SUM(→:←!AF11)</f>
        <v>0</v>
      </c>
      <c r="AG11" s="3">
        <f>SUM(→:←!AG11)</f>
        <v>57</v>
      </c>
      <c r="AH11" s="3">
        <f>SUM(→:←!AH11)</f>
        <v>0</v>
      </c>
      <c r="AI11" s="3">
        <f>SUM(→:←!AI11)</f>
        <v>0</v>
      </c>
      <c r="AJ11" s="14">
        <f>SUM(→:←!AJ11)</f>
        <v>21.5</v>
      </c>
      <c r="AK11" s="18">
        <f>SUM(→:←!AK11)</f>
        <v>132.5</v>
      </c>
      <c r="AL11" s="24">
        <f>SUM(→:←!AL11)</f>
        <v>-39.255911999999995</v>
      </c>
      <c r="AM11" s="75">
        <f>SUM(→:←!AM11)</f>
        <v>-78.856588000000329</v>
      </c>
      <c r="AN11" s="1">
        <f t="shared" si="4"/>
        <v>-55.199611600000026</v>
      </c>
      <c r="AO11" s="1">
        <f t="shared" si="8"/>
        <v>-18.883849864050013</v>
      </c>
      <c r="AP11" s="24">
        <f t="shared" si="0"/>
        <v>-74.083461464050032</v>
      </c>
      <c r="AQ11" s="24">
        <f t="shared" si="5"/>
        <v>3.8185012287602378</v>
      </c>
      <c r="AS11" s="1">
        <f>SUM(K11:$K$70)</f>
        <v>4701.5997743697462</v>
      </c>
      <c r="AT11" s="1">
        <f t="shared" si="6"/>
        <v>-4780.4563623697468</v>
      </c>
      <c r="AV11" s="24">
        <f t="shared" si="7"/>
        <v>435.96500000000003</v>
      </c>
      <c r="AX11" s="78">
        <f t="shared" si="9"/>
        <v>10435.965</v>
      </c>
      <c r="AY11" s="78" t="str">
        <f>IF($AH11&gt;0,"車,","")&amp;IF($AF11&gt;0,"リフォーム,","")&amp;IF(子1!C11=18,"大学入学,","")&amp;IF(子2!C11=18,"大学入学,","")&amp;IF(子3!C11=18,"大学入学,","")&amp;IF(子4!C11=18,"大学入学,","")</f>
        <v/>
      </c>
    </row>
    <row r="12" spans="2:51" x14ac:dyDescent="0.25">
      <c r="B12" s="71">
        <f t="shared" si="2"/>
        <v>2028</v>
      </c>
      <c r="C12" s="72">
        <f t="shared" si="3"/>
        <v>30</v>
      </c>
      <c r="D12" s="73">
        <f>SUM(→:←!D12)</f>
        <v>541.81637173618515</v>
      </c>
      <c r="E12" s="72">
        <f>SUM(→:←!E12)</f>
        <v>447.65804000000003</v>
      </c>
      <c r="F12" s="72">
        <f>SUM(→:←!F12)</f>
        <v>-33.581632000000006</v>
      </c>
      <c r="G12" s="72">
        <f>SUM(→:←!G12)</f>
        <v>0</v>
      </c>
      <c r="H12" s="72">
        <f>SUM(→:←!H12)</f>
        <v>0</v>
      </c>
      <c r="I12" s="74">
        <f>SUM(→:←!I12)</f>
        <v>0</v>
      </c>
      <c r="J12" s="75">
        <f>SUM(→:←!J12)</f>
        <v>414.07640800000001</v>
      </c>
      <c r="K12" s="71">
        <f>SUM(→:←!K12)</f>
        <v>96</v>
      </c>
      <c r="L12" s="72">
        <f>SUM(→:←!L12)</f>
        <v>0</v>
      </c>
      <c r="M12" s="72">
        <f>SUM(→:←!M12)</f>
        <v>89.100000000000023</v>
      </c>
      <c r="N12" s="72">
        <f>SUM(→:←!N12)</f>
        <v>33</v>
      </c>
      <c r="O12" s="72">
        <f>SUM(→:←!O12)</f>
        <v>11.55</v>
      </c>
      <c r="P12" s="72">
        <f>SUM(→:←!P12)</f>
        <v>9.240000000000002</v>
      </c>
      <c r="Q12" s="72">
        <f>SUM(→:←!Q12)</f>
        <v>5.7750000000000004</v>
      </c>
      <c r="R12" s="72">
        <f>SUM(→:←!R12)</f>
        <v>12</v>
      </c>
      <c r="S12" s="74">
        <f>SUM(→:←!S12)</f>
        <v>0</v>
      </c>
      <c r="T12" s="76">
        <f>SUM(→:←!T12)</f>
        <v>256.66500000000002</v>
      </c>
      <c r="U12" s="75">
        <f>SUM(→:←!U12)</f>
        <v>157.41140799999997</v>
      </c>
      <c r="V12" s="71">
        <f>SUM(→:←!V12)</f>
        <v>6</v>
      </c>
      <c r="W12" s="72">
        <f>SUM(→:←!W12)</f>
        <v>4.8000000000000007</v>
      </c>
      <c r="X12" s="72">
        <f>SUM(→:←!X12)</f>
        <v>0</v>
      </c>
      <c r="Y12" s="72">
        <f>SUM(→:←!Y12)</f>
        <v>0</v>
      </c>
      <c r="Z12" s="72">
        <f>SUM(→:←!Z12)</f>
        <v>36</v>
      </c>
      <c r="AA12" s="72">
        <f>SUM(→:←!AA12)</f>
        <v>0</v>
      </c>
      <c r="AB12" s="74">
        <f>SUM(→:←!AB12)</f>
        <v>0</v>
      </c>
      <c r="AC12" s="76">
        <f>SUM(→:←!AC12)</f>
        <v>46.8</v>
      </c>
      <c r="AD12" s="75">
        <f>SUM(→:←!AD12)</f>
        <v>110.61140799999995</v>
      </c>
      <c r="AE12" s="5">
        <f>SUM(→:←!AE12)</f>
        <v>54</v>
      </c>
      <c r="AF12" s="3">
        <f>SUM(→:←!AF12)</f>
        <v>0</v>
      </c>
      <c r="AG12" s="3">
        <f>SUM(→:←!AG12)</f>
        <v>0</v>
      </c>
      <c r="AH12" s="3">
        <f>SUM(→:←!AH12)</f>
        <v>0</v>
      </c>
      <c r="AI12" s="3">
        <f>SUM(→:←!AI12)</f>
        <v>0</v>
      </c>
      <c r="AJ12" s="14">
        <f>SUM(→:←!AJ12)</f>
        <v>21.5</v>
      </c>
      <c r="AK12" s="18">
        <f>SUM(→:←!AK12)</f>
        <v>75.5</v>
      </c>
      <c r="AL12" s="24">
        <f>SUM(→:←!AL12)</f>
        <v>35.111407999999955</v>
      </c>
      <c r="AM12" s="75">
        <f>SUM(→:←!AM12)</f>
        <v>-43.745180000000119</v>
      </c>
      <c r="AN12" s="1">
        <f t="shared" si="4"/>
        <v>-30.62162600000006</v>
      </c>
      <c r="AO12" s="1">
        <f t="shared" si="8"/>
        <v>-9.294619957252527</v>
      </c>
      <c r="AP12" s="24">
        <f t="shared" si="0"/>
        <v>-39.916245957252585</v>
      </c>
      <c r="AQ12" s="24">
        <f t="shared" si="5"/>
        <v>3.063147234198027</v>
      </c>
      <c r="AS12" s="1">
        <f>SUM(K12:$K$70)</f>
        <v>4605.5997743697462</v>
      </c>
      <c r="AT12" s="1">
        <f t="shared" si="6"/>
        <v>-4649.3449543697461</v>
      </c>
      <c r="AV12" s="24">
        <f t="shared" si="7"/>
        <v>378.96500000000003</v>
      </c>
      <c r="AX12" s="78">
        <f t="shared" si="9"/>
        <v>10378.965</v>
      </c>
      <c r="AY12" s="78" t="str">
        <f>IF($AH12&gt;0,"車,","")&amp;IF($AF12&gt;0,"リフォーム,","")&amp;IF(子1!C12=18,"大学入学,","")&amp;IF(子2!C12=18,"大学入学,","")&amp;IF(子3!C12=18,"大学入学,","")&amp;IF(子4!C12=18,"大学入学,","")</f>
        <v/>
      </c>
    </row>
    <row r="13" spans="2:51" x14ac:dyDescent="0.25">
      <c r="B13" s="71">
        <f t="shared" si="2"/>
        <v>2029</v>
      </c>
      <c r="C13" s="72">
        <f t="shared" si="3"/>
        <v>31</v>
      </c>
      <c r="D13" s="73">
        <f>SUM(→:←!D13)</f>
        <v>555.62214963126473</v>
      </c>
      <c r="E13" s="72">
        <f>SUM(→:←!E13)</f>
        <v>471.17272000000003</v>
      </c>
      <c r="F13" s="72">
        <f>SUM(→:←!F13)</f>
        <v>-58.767856000000002</v>
      </c>
      <c r="G13" s="72">
        <f>SUM(→:←!G13)</f>
        <v>0</v>
      </c>
      <c r="H13" s="72">
        <f>SUM(→:←!H13)</f>
        <v>0</v>
      </c>
      <c r="I13" s="74">
        <f>SUM(→:←!I13)</f>
        <v>0</v>
      </c>
      <c r="J13" s="75">
        <f>SUM(→:←!J13)</f>
        <v>412.40486399999998</v>
      </c>
      <c r="K13" s="71">
        <f>SUM(→:←!K13)</f>
        <v>120</v>
      </c>
      <c r="L13" s="72">
        <f>SUM(→:←!L13)</f>
        <v>0</v>
      </c>
      <c r="M13" s="72">
        <f>SUM(→:←!M13)</f>
        <v>106.92000000000003</v>
      </c>
      <c r="N13" s="72">
        <f>SUM(→:←!N13)</f>
        <v>39.6</v>
      </c>
      <c r="O13" s="72">
        <f>SUM(→:←!O13)</f>
        <v>13.200000000000001</v>
      </c>
      <c r="P13" s="72">
        <f>SUM(→:←!P13)</f>
        <v>10.560000000000002</v>
      </c>
      <c r="Q13" s="72">
        <f>SUM(→:←!Q13)</f>
        <v>6.6000000000000005</v>
      </c>
      <c r="R13" s="72">
        <f>SUM(→:←!R13)</f>
        <v>12</v>
      </c>
      <c r="S13" s="74">
        <f>SUM(→:←!S13)</f>
        <v>0</v>
      </c>
      <c r="T13" s="76">
        <f>SUM(→:←!T13)</f>
        <v>308.88</v>
      </c>
      <c r="U13" s="75">
        <f>SUM(→:←!U13)</f>
        <v>103.52486399999995</v>
      </c>
      <c r="V13" s="71">
        <f>SUM(→:←!V13)</f>
        <v>6</v>
      </c>
      <c r="W13" s="72">
        <f>SUM(→:←!W13)</f>
        <v>4.8000000000000007</v>
      </c>
      <c r="X13" s="72">
        <f>SUM(→:←!X13)</f>
        <v>0</v>
      </c>
      <c r="Y13" s="72">
        <f>SUM(→:←!Y13)</f>
        <v>12</v>
      </c>
      <c r="Z13" s="72">
        <f>SUM(→:←!Z13)</f>
        <v>22.473300000000002</v>
      </c>
      <c r="AA13" s="72">
        <f>SUM(→:←!AA13)</f>
        <v>0</v>
      </c>
      <c r="AB13" s="74">
        <f>SUM(→:←!AB13)</f>
        <v>0</v>
      </c>
      <c r="AC13" s="76">
        <f>SUM(→:←!AC13)</f>
        <v>45.273300000000006</v>
      </c>
      <c r="AD13" s="75">
        <f>SUM(→:←!AD13)</f>
        <v>58.251563999999973</v>
      </c>
      <c r="AE13" s="5">
        <f>SUM(→:←!AE13)</f>
        <v>60</v>
      </c>
      <c r="AF13" s="3">
        <f>SUM(→:←!AF13)</f>
        <v>0</v>
      </c>
      <c r="AG13" s="3">
        <f>SUM(→:←!AG13)</f>
        <v>0</v>
      </c>
      <c r="AH13" s="3">
        <f>SUM(→:←!AH13)</f>
        <v>0</v>
      </c>
      <c r="AI13" s="3">
        <f>SUM(→:←!AI13)</f>
        <v>0</v>
      </c>
      <c r="AJ13" s="14">
        <f>SUM(→:←!AJ13)</f>
        <v>21.5</v>
      </c>
      <c r="AK13" s="18">
        <f>SUM(→:←!AK13)</f>
        <v>81.5</v>
      </c>
      <c r="AL13" s="24">
        <f>SUM(→:←!AL13)</f>
        <v>-23.248436000000027</v>
      </c>
      <c r="AM13" s="75">
        <f>SUM(→:←!AM13)</f>
        <v>-66.993616000000202</v>
      </c>
      <c r="AN13" s="1">
        <f t="shared" si="4"/>
        <v>-46.895531200000079</v>
      </c>
      <c r="AO13" s="1">
        <f t="shared" si="8"/>
        <v>-16.733881755115164</v>
      </c>
      <c r="AP13" s="24">
        <f t="shared" si="0"/>
        <v>-63.629412955115242</v>
      </c>
      <c r="AQ13" s="24">
        <f t="shared" si="5"/>
        <v>2.6913624359079678</v>
      </c>
      <c r="AS13" s="1">
        <f>SUM(K13:$K$70)</f>
        <v>4509.5997743697462</v>
      </c>
      <c r="AT13" s="1">
        <f t="shared" si="6"/>
        <v>-4576.593390369746</v>
      </c>
      <c r="AV13" s="24">
        <f t="shared" si="7"/>
        <v>435.6533</v>
      </c>
      <c r="AX13" s="78">
        <f t="shared" si="9"/>
        <v>10435.6533</v>
      </c>
      <c r="AY13" s="78" t="str">
        <f>IF($AH13&gt;0,"車,","")&amp;IF($AF13&gt;0,"リフォーム,","")&amp;IF(子1!C13=18,"大学入学,","")&amp;IF(子2!C13=18,"大学入学,","")&amp;IF(子3!C13=18,"大学入学,","")&amp;IF(子4!C13=18,"大学入学,","")</f>
        <v/>
      </c>
    </row>
    <row r="14" spans="2:51" x14ac:dyDescent="0.25">
      <c r="B14" s="71">
        <f t="shared" si="2"/>
        <v>2030</v>
      </c>
      <c r="C14" s="72">
        <f t="shared" si="3"/>
        <v>32</v>
      </c>
      <c r="D14" s="73">
        <f>SUM(→:←!D14)</f>
        <v>569.78161937614368</v>
      </c>
      <c r="E14" s="72">
        <f>SUM(→:←!E14)</f>
        <v>473.57272</v>
      </c>
      <c r="F14" s="72">
        <f>SUM(→:←!F14)</f>
        <v>-33.581632000000006</v>
      </c>
      <c r="G14" s="72">
        <f>SUM(→:←!G14)</f>
        <v>0</v>
      </c>
      <c r="H14" s="72">
        <f>SUM(→:←!H14)</f>
        <v>0</v>
      </c>
      <c r="I14" s="74">
        <f>SUM(→:←!I14)</f>
        <v>0</v>
      </c>
      <c r="J14" s="75">
        <f>SUM(→:←!J14)</f>
        <v>439.99108800000005</v>
      </c>
      <c r="K14" s="71">
        <f>SUM(→:←!K14)</f>
        <v>120</v>
      </c>
      <c r="L14" s="72">
        <f>SUM(→:←!L14)</f>
        <v>0</v>
      </c>
      <c r="M14" s="72">
        <f>SUM(→:←!M14)</f>
        <v>106.92000000000003</v>
      </c>
      <c r="N14" s="72">
        <f>SUM(→:←!N14)</f>
        <v>39.6</v>
      </c>
      <c r="O14" s="72">
        <f>SUM(→:←!O14)</f>
        <v>13.200000000000001</v>
      </c>
      <c r="P14" s="72">
        <f>SUM(→:←!P14)</f>
        <v>10.560000000000002</v>
      </c>
      <c r="Q14" s="72">
        <f>SUM(→:←!Q14)</f>
        <v>6.6000000000000005</v>
      </c>
      <c r="R14" s="72">
        <f>SUM(→:←!R14)</f>
        <v>12</v>
      </c>
      <c r="S14" s="74">
        <f>SUM(→:←!S14)</f>
        <v>0</v>
      </c>
      <c r="T14" s="76">
        <f>SUM(→:←!T14)</f>
        <v>308.88</v>
      </c>
      <c r="U14" s="75">
        <f>SUM(→:←!U14)</f>
        <v>131.11108800000002</v>
      </c>
      <c r="V14" s="71">
        <f>SUM(→:←!V14)</f>
        <v>6</v>
      </c>
      <c r="W14" s="72">
        <f>SUM(→:←!W14)</f>
        <v>4.8000000000000007</v>
      </c>
      <c r="X14" s="72">
        <f>SUM(→:←!X14)</f>
        <v>0</v>
      </c>
      <c r="Y14" s="72">
        <f>SUM(→:←!Y14)</f>
        <v>12</v>
      </c>
      <c r="Z14" s="72">
        <f>SUM(→:←!Z14)</f>
        <v>25.276900000000001</v>
      </c>
      <c r="AA14" s="72">
        <f>SUM(→:←!AA14)</f>
        <v>0</v>
      </c>
      <c r="AB14" s="74">
        <f>SUM(→:←!AB14)</f>
        <v>0</v>
      </c>
      <c r="AC14" s="76">
        <f>SUM(→:←!AC14)</f>
        <v>48.076900000000002</v>
      </c>
      <c r="AD14" s="75">
        <f>SUM(→:←!AD14)</f>
        <v>83.034188000000057</v>
      </c>
      <c r="AE14" s="5">
        <f>SUM(→:←!AE14)</f>
        <v>60</v>
      </c>
      <c r="AF14" s="3">
        <f>SUM(→:←!AF14)</f>
        <v>0</v>
      </c>
      <c r="AG14" s="3">
        <f>SUM(→:←!AG14)</f>
        <v>0</v>
      </c>
      <c r="AH14" s="3">
        <f>SUM(→:←!AH14)</f>
        <v>0</v>
      </c>
      <c r="AI14" s="3">
        <f>SUM(→:←!AI14)</f>
        <v>0</v>
      </c>
      <c r="AJ14" s="14">
        <f>SUM(→:←!AJ14)</f>
        <v>21.5</v>
      </c>
      <c r="AK14" s="18">
        <f>SUM(→:←!AK14)</f>
        <v>81.5</v>
      </c>
      <c r="AL14" s="24">
        <f>SUM(→:←!AL14)</f>
        <v>1.5341880000000572</v>
      </c>
      <c r="AM14" s="75">
        <f>SUM(→:←!AM14)</f>
        <v>-65.459428000000116</v>
      </c>
      <c r="AN14" s="1">
        <f t="shared" si="4"/>
        <v>-45.821599600000042</v>
      </c>
      <c r="AO14" s="1">
        <f t="shared" si="8"/>
        <v>-17.110319442870907</v>
      </c>
      <c r="AP14" s="24">
        <f t="shared" si="0"/>
        <v>-62.931919042870945</v>
      </c>
      <c r="AQ14" s="24">
        <f t="shared" si="5"/>
        <v>2.0220071657033372</v>
      </c>
      <c r="AS14" s="1">
        <f>SUM(K14:$K$70)</f>
        <v>4389.5997743697462</v>
      </c>
      <c r="AT14" s="1">
        <f t="shared" si="6"/>
        <v>-4455.0592023697463</v>
      </c>
      <c r="AV14" s="24">
        <f t="shared" si="7"/>
        <v>438.45690000000002</v>
      </c>
      <c r="AX14" s="78">
        <f t="shared" si="9"/>
        <v>10438.456899999999</v>
      </c>
      <c r="AY14" s="78" t="str">
        <f>IF($AH14&gt;0,"車,","")&amp;IF($AF14&gt;0,"リフォーム,","")&amp;IF(子1!C14=18,"大学入学,","")&amp;IF(子2!C14=18,"大学入学,","")&amp;IF(子3!C14=18,"大学入学,","")&amp;IF(子4!C14=18,"大学入学,","")</f>
        <v/>
      </c>
    </row>
    <row r="15" spans="2:51" x14ac:dyDescent="0.25">
      <c r="B15" s="71">
        <f t="shared" si="2"/>
        <v>2031</v>
      </c>
      <c r="C15" s="72">
        <f t="shared" si="3"/>
        <v>33</v>
      </c>
      <c r="D15" s="73">
        <f>SUM(→:←!D15)</f>
        <v>583.79045233547276</v>
      </c>
      <c r="E15" s="72">
        <f>SUM(→:←!E15)</f>
        <v>481.97271999999998</v>
      </c>
      <c r="F15" s="72">
        <f>SUM(→:←!F15)</f>
        <v>-33.581632000000006</v>
      </c>
      <c r="G15" s="72">
        <f>SUM(→:←!G15)</f>
        <v>0</v>
      </c>
      <c r="H15" s="72">
        <f>SUM(→:←!H15)</f>
        <v>0</v>
      </c>
      <c r="I15" s="74">
        <f>SUM(→:←!I15)</f>
        <v>0</v>
      </c>
      <c r="J15" s="75">
        <f>SUM(→:←!J15)</f>
        <v>448.39108800000002</v>
      </c>
      <c r="K15" s="71">
        <f>SUM(→:←!K15)</f>
        <v>120</v>
      </c>
      <c r="L15" s="72">
        <f>SUM(→:←!L15)</f>
        <v>0</v>
      </c>
      <c r="M15" s="72">
        <f>SUM(→:←!M15)</f>
        <v>106.92000000000003</v>
      </c>
      <c r="N15" s="72">
        <f>SUM(→:←!N15)</f>
        <v>39.6</v>
      </c>
      <c r="O15" s="72">
        <f>SUM(→:←!O15)</f>
        <v>13.200000000000001</v>
      </c>
      <c r="P15" s="72">
        <f>SUM(→:←!P15)</f>
        <v>10.560000000000002</v>
      </c>
      <c r="Q15" s="72">
        <f>SUM(→:←!Q15)</f>
        <v>6.6000000000000005</v>
      </c>
      <c r="R15" s="72">
        <f>SUM(→:←!R15)</f>
        <v>12</v>
      </c>
      <c r="S15" s="74">
        <f>SUM(→:←!S15)</f>
        <v>0</v>
      </c>
      <c r="T15" s="76">
        <f>SUM(→:←!T15)</f>
        <v>308.88</v>
      </c>
      <c r="U15" s="75">
        <f>SUM(→:←!U15)</f>
        <v>139.51108799999997</v>
      </c>
      <c r="V15" s="71">
        <f>SUM(→:←!V15)</f>
        <v>6</v>
      </c>
      <c r="W15" s="72">
        <f>SUM(→:←!W15)</f>
        <v>4.8000000000000007</v>
      </c>
      <c r="X15" s="72">
        <f>SUM(→:←!X15)</f>
        <v>0</v>
      </c>
      <c r="Y15" s="72">
        <f>SUM(→:←!Y15)</f>
        <v>12</v>
      </c>
      <c r="Z15" s="72">
        <f>SUM(→:←!Z15)</f>
        <v>25.249600000000001</v>
      </c>
      <c r="AA15" s="72">
        <f>SUM(→:←!AA15)</f>
        <v>0</v>
      </c>
      <c r="AB15" s="74">
        <f>SUM(→:←!AB15)</f>
        <v>0</v>
      </c>
      <c r="AC15" s="76">
        <f>SUM(→:←!AC15)</f>
        <v>48.049599999999998</v>
      </c>
      <c r="AD15" s="75">
        <f>SUM(→:←!AD15)</f>
        <v>91.461488000000003</v>
      </c>
      <c r="AE15" s="5">
        <f>SUM(→:←!AE15)</f>
        <v>60</v>
      </c>
      <c r="AF15" s="3">
        <f>SUM(→:←!AF15)</f>
        <v>0</v>
      </c>
      <c r="AG15" s="3">
        <f>SUM(→:←!AG15)</f>
        <v>0</v>
      </c>
      <c r="AH15" s="3">
        <f>SUM(→:←!AH15)</f>
        <v>0</v>
      </c>
      <c r="AI15" s="3">
        <f>SUM(→:←!AI15)</f>
        <v>0</v>
      </c>
      <c r="AJ15" s="14">
        <f>SUM(→:←!AJ15)</f>
        <v>21.5</v>
      </c>
      <c r="AK15" s="18">
        <f>SUM(→:←!AK15)</f>
        <v>81.5</v>
      </c>
      <c r="AL15" s="24">
        <f>SUM(→:←!AL15)</f>
        <v>9.9614880000000028</v>
      </c>
      <c r="AM15" s="75">
        <f>SUM(→:←!AM15)</f>
        <v>-55.497940000000199</v>
      </c>
      <c r="AN15" s="1">
        <f t="shared" si="4"/>
        <v>-38.84855800000004</v>
      </c>
      <c r="AO15" s="1">
        <f t="shared" si="8"/>
        <v>-14.977389015014452</v>
      </c>
      <c r="AP15" s="24">
        <f t="shared" si="0"/>
        <v>-53.825947015014492</v>
      </c>
      <c r="AQ15" s="24">
        <f t="shared" si="5"/>
        <v>1.3375943879885654</v>
      </c>
      <c r="AS15" s="1">
        <f>SUM(K15:$K$70)</f>
        <v>4269.5997743697471</v>
      </c>
      <c r="AT15" s="1">
        <f t="shared" si="6"/>
        <v>-4325.0977143697473</v>
      </c>
      <c r="AV15" s="24">
        <f t="shared" si="7"/>
        <v>438.42959999999999</v>
      </c>
      <c r="AX15" s="78">
        <f t="shared" si="9"/>
        <v>10438.429599999999</v>
      </c>
      <c r="AY15" s="78" t="str">
        <f>IF($AH15&gt;0,"車,","")&amp;IF($AF15&gt;0,"リフォーム,","")&amp;IF(子1!C15=18,"大学入学,","")&amp;IF(子2!C15=18,"大学入学,","")&amp;IF(子3!C15=18,"大学入学,","")&amp;IF(子4!C15=18,"大学入学,","")</f>
        <v/>
      </c>
    </row>
    <row r="16" spans="2:51" x14ac:dyDescent="0.25">
      <c r="B16" s="71">
        <f t="shared" si="2"/>
        <v>2032</v>
      </c>
      <c r="C16" s="72">
        <f t="shared" si="3"/>
        <v>34</v>
      </c>
      <c r="D16" s="73">
        <f>SUM(→:←!D16)</f>
        <v>598.14371093825673</v>
      </c>
      <c r="E16" s="72">
        <f>SUM(→:←!E16)</f>
        <v>495.99655999999993</v>
      </c>
      <c r="F16" s="72">
        <f>SUM(→:←!F16)</f>
        <v>-37.581632000000006</v>
      </c>
      <c r="G16" s="72">
        <f>SUM(→:←!G16)</f>
        <v>0</v>
      </c>
      <c r="H16" s="72">
        <f>SUM(→:←!H16)</f>
        <v>0</v>
      </c>
      <c r="I16" s="74">
        <f>SUM(→:←!I16)</f>
        <v>0</v>
      </c>
      <c r="J16" s="75">
        <f>SUM(→:←!J16)</f>
        <v>458.41492799999997</v>
      </c>
      <c r="K16" s="71">
        <f>SUM(→:←!K16)</f>
        <v>118.55999355342125</v>
      </c>
      <c r="L16" s="72">
        <f>SUM(→:←!L16)</f>
        <v>6.1556099355342102</v>
      </c>
      <c r="M16" s="72">
        <f>SUM(→:←!M16)</f>
        <v>106.92000000000003</v>
      </c>
      <c r="N16" s="72">
        <f>SUM(→:←!N16)</f>
        <v>39.6</v>
      </c>
      <c r="O16" s="72">
        <f>SUM(→:←!O16)</f>
        <v>13.200000000000001</v>
      </c>
      <c r="P16" s="72">
        <f>SUM(→:←!P16)</f>
        <v>10.560000000000002</v>
      </c>
      <c r="Q16" s="72">
        <f>SUM(→:←!Q16)</f>
        <v>6.6000000000000005</v>
      </c>
      <c r="R16" s="72">
        <f>SUM(→:←!R16)</f>
        <v>12</v>
      </c>
      <c r="S16" s="74">
        <f>SUM(→:←!S16)</f>
        <v>0</v>
      </c>
      <c r="T16" s="76">
        <f>SUM(→:←!T16)</f>
        <v>313.59560348895548</v>
      </c>
      <c r="U16" s="75">
        <f>SUM(→:←!U16)</f>
        <v>144.81932451104444</v>
      </c>
      <c r="V16" s="71">
        <f>SUM(→:←!V16)</f>
        <v>6</v>
      </c>
      <c r="W16" s="72">
        <f>SUM(→:←!W16)</f>
        <v>4.8000000000000007</v>
      </c>
      <c r="X16" s="72">
        <f>SUM(→:←!X16)</f>
        <v>12</v>
      </c>
      <c r="Y16" s="72">
        <f>SUM(→:←!Y16)</f>
        <v>12</v>
      </c>
      <c r="Z16" s="72">
        <f>SUM(→:←!Z16)</f>
        <v>15.448600000000001</v>
      </c>
      <c r="AA16" s="72">
        <f>SUM(→:←!AA16)</f>
        <v>0</v>
      </c>
      <c r="AB16" s="74">
        <f>SUM(→:←!AB16)</f>
        <v>0</v>
      </c>
      <c r="AC16" s="76">
        <f>SUM(→:←!AC16)</f>
        <v>50.248600000000003</v>
      </c>
      <c r="AD16" s="75">
        <f>SUM(→:←!AD16)</f>
        <v>94.570724511044503</v>
      </c>
      <c r="AE16" s="5">
        <f>SUM(→:←!AE16)</f>
        <v>60</v>
      </c>
      <c r="AF16" s="3">
        <f>SUM(→:←!AF16)</f>
        <v>0</v>
      </c>
      <c r="AG16" s="3">
        <f>SUM(→:←!AG16)</f>
        <v>3</v>
      </c>
      <c r="AH16" s="3">
        <f>SUM(→:←!AH16)</f>
        <v>300</v>
      </c>
      <c r="AI16" s="3">
        <f>SUM(→:←!AI16)</f>
        <v>0</v>
      </c>
      <c r="AJ16" s="14">
        <f>SUM(→:←!AJ16)</f>
        <v>21.5</v>
      </c>
      <c r="AK16" s="18">
        <f>SUM(→:←!AK16)</f>
        <v>384.5</v>
      </c>
      <c r="AL16" s="24">
        <f>SUM(→:←!AL16)</f>
        <v>-289.92927548895551</v>
      </c>
      <c r="AM16" s="75">
        <f>SUM(→:←!AM16)</f>
        <v>-345.42721548895543</v>
      </c>
      <c r="AN16" s="1">
        <f t="shared" si="4"/>
        <v>-241.79905084226891</v>
      </c>
      <c r="AO16" s="1">
        <f t="shared" si="8"/>
        <v>-102.70504111245182</v>
      </c>
      <c r="AP16" s="24">
        <f t="shared" si="0"/>
        <v>-344.50409195472071</v>
      </c>
      <c r="AQ16" s="24">
        <f t="shared" si="5"/>
        <v>0.73849882738777528</v>
      </c>
      <c r="AS16" s="1">
        <f>SUM(K16:$K$70)</f>
        <v>4149.5997743697471</v>
      </c>
      <c r="AT16" s="1">
        <f t="shared" si="6"/>
        <v>-4495.026989858703</v>
      </c>
      <c r="AV16" s="24">
        <f t="shared" si="7"/>
        <v>748.34420348895549</v>
      </c>
      <c r="AX16" s="78">
        <f t="shared" si="9"/>
        <v>898.01304418674658</v>
      </c>
      <c r="AY16" s="78" t="str">
        <f>IF($AH16&gt;0,"車,","")&amp;IF($AF16&gt;0,"リフォーム,","")&amp;IF(子1!C16=18,"大学入学,","")&amp;IF(子2!C16=18,"大学入学,","")&amp;IF(子3!C16=18,"大学入学,","")&amp;IF(子4!C16=18,"大学入学,","")</f>
        <v>車,</v>
      </c>
    </row>
    <row r="17" spans="2:51" x14ac:dyDescent="0.25">
      <c r="B17" s="71">
        <f t="shared" si="2"/>
        <v>2033</v>
      </c>
      <c r="C17" s="72">
        <f t="shared" si="3"/>
        <v>35</v>
      </c>
      <c r="D17" s="73">
        <f>SUM(→:←!D17)</f>
        <v>612.8498633434217</v>
      </c>
      <c r="E17" s="72">
        <f>SUM(→:←!E17)</f>
        <v>498.39656000000002</v>
      </c>
      <c r="F17" s="72">
        <f>SUM(→:←!F17)</f>
        <v>-37.581632000000006</v>
      </c>
      <c r="G17" s="72">
        <f>SUM(→:←!G17)</f>
        <v>0</v>
      </c>
      <c r="H17" s="72">
        <f>SUM(→:←!H17)</f>
        <v>0</v>
      </c>
      <c r="I17" s="74">
        <f>SUM(→:←!I17)</f>
        <v>0</v>
      </c>
      <c r="J17" s="75">
        <f>SUM(→:←!J17)</f>
        <v>460.81492800000001</v>
      </c>
      <c r="K17" s="71">
        <f>SUM(→:←!K17)</f>
        <v>118.55999355342125</v>
      </c>
      <c r="L17" s="72">
        <f>SUM(→:←!L17)</f>
        <v>7.1442298710684247</v>
      </c>
      <c r="M17" s="72">
        <f>SUM(→:←!M17)</f>
        <v>106.92000000000003</v>
      </c>
      <c r="N17" s="72">
        <f>SUM(→:←!N17)</f>
        <v>39.6</v>
      </c>
      <c r="O17" s="72">
        <f>SUM(→:←!O17)</f>
        <v>13.200000000000001</v>
      </c>
      <c r="P17" s="72">
        <f>SUM(→:←!P17)</f>
        <v>10.560000000000002</v>
      </c>
      <c r="Q17" s="72">
        <f>SUM(→:←!Q17)</f>
        <v>6.6000000000000005</v>
      </c>
      <c r="R17" s="72">
        <f>SUM(→:←!R17)</f>
        <v>12</v>
      </c>
      <c r="S17" s="74">
        <f>SUM(→:←!S17)</f>
        <v>0</v>
      </c>
      <c r="T17" s="76">
        <f>SUM(→:←!T17)</f>
        <v>314.58422342448966</v>
      </c>
      <c r="U17" s="75">
        <f>SUM(→:←!U17)</f>
        <v>146.23070457551023</v>
      </c>
      <c r="V17" s="71">
        <f>SUM(→:←!V17)</f>
        <v>6</v>
      </c>
      <c r="W17" s="72">
        <f>SUM(→:←!W17)</f>
        <v>4.8000000000000007</v>
      </c>
      <c r="X17" s="72">
        <f>SUM(→:←!X17)</f>
        <v>12</v>
      </c>
      <c r="Y17" s="72">
        <f>SUM(→:←!Y17)</f>
        <v>12</v>
      </c>
      <c r="Z17" s="72">
        <f>SUM(→:←!Z17)</f>
        <v>7.9245999999999999</v>
      </c>
      <c r="AA17" s="72">
        <f>SUM(→:←!AA17)</f>
        <v>0</v>
      </c>
      <c r="AB17" s="74">
        <f>SUM(→:←!AB17)</f>
        <v>0</v>
      </c>
      <c r="AC17" s="76">
        <f>SUM(→:←!AC17)</f>
        <v>42.724600000000002</v>
      </c>
      <c r="AD17" s="75">
        <f>SUM(→:←!AD17)</f>
        <v>103.50610457551028</v>
      </c>
      <c r="AE17" s="5">
        <f>SUM(→:←!AE17)</f>
        <v>60</v>
      </c>
      <c r="AF17" s="3">
        <f>SUM(→:←!AF17)</f>
        <v>0</v>
      </c>
      <c r="AG17" s="3">
        <f>SUM(→:←!AG17)</f>
        <v>0</v>
      </c>
      <c r="AH17" s="3">
        <f>SUM(→:←!AH17)</f>
        <v>0</v>
      </c>
      <c r="AI17" s="3">
        <f>SUM(→:←!AI17)</f>
        <v>0</v>
      </c>
      <c r="AJ17" s="14">
        <f>SUM(→:←!AJ17)</f>
        <v>21.5</v>
      </c>
      <c r="AK17" s="18">
        <f>SUM(→:←!AK17)</f>
        <v>81.5</v>
      </c>
      <c r="AL17" s="24">
        <f>SUM(→:←!AL17)</f>
        <v>22.006104575510278</v>
      </c>
      <c r="AM17" s="75">
        <f>SUM(→:←!AM17)</f>
        <v>-323.42111091344509</v>
      </c>
      <c r="AN17" s="1">
        <f t="shared" si="4"/>
        <v>-226.39477763941173</v>
      </c>
      <c r="AO17" s="1">
        <f t="shared" si="8"/>
        <v>-101.23846179542134</v>
      </c>
      <c r="AP17" s="24">
        <f t="shared" si="0"/>
        <v>-327.63323943483306</v>
      </c>
      <c r="AQ17" s="24">
        <f t="shared" si="5"/>
        <v>-3.3697028171103742</v>
      </c>
      <c r="AS17" s="1">
        <f>SUM(K17:$K$70)</f>
        <v>4031.0397808163261</v>
      </c>
      <c r="AT17" s="1">
        <f t="shared" si="6"/>
        <v>-4354.460891729771</v>
      </c>
      <c r="AV17" s="24">
        <f t="shared" si="7"/>
        <v>438.80882342448967</v>
      </c>
      <c r="AX17" s="78">
        <f t="shared" si="9"/>
        <v>10438.80882342449</v>
      </c>
      <c r="AY17" s="78" t="str">
        <f>IF($AH17&gt;0,"車,","")&amp;IF($AF17&gt;0,"リフォーム,","")&amp;IF(子1!C17=18,"大学入学,","")&amp;IF(子2!C17=18,"大学入学,","")&amp;IF(子3!C17=18,"大学入学,","")&amp;IF(子4!C17=18,"大学入学,","")</f>
        <v/>
      </c>
    </row>
    <row r="18" spans="2:51" x14ac:dyDescent="0.25">
      <c r="B18" s="71">
        <f t="shared" si="2"/>
        <v>2034</v>
      </c>
      <c r="C18" s="72">
        <f t="shared" si="3"/>
        <v>36</v>
      </c>
      <c r="D18" s="73">
        <f>SUM(→:←!D18)</f>
        <v>624.89834000345127</v>
      </c>
      <c r="E18" s="72">
        <f>SUM(→:←!E18)</f>
        <v>506.79656</v>
      </c>
      <c r="F18" s="72">
        <f>SUM(→:←!F18)</f>
        <v>-37.581632000000006</v>
      </c>
      <c r="G18" s="72">
        <f>SUM(→:←!G18)</f>
        <v>0</v>
      </c>
      <c r="H18" s="72">
        <f>SUM(→:←!H18)</f>
        <v>0</v>
      </c>
      <c r="I18" s="74">
        <f>SUM(→:←!I18)</f>
        <v>0</v>
      </c>
      <c r="J18" s="75">
        <f>SUM(→:←!J18)</f>
        <v>469.21492800000004</v>
      </c>
      <c r="K18" s="71">
        <f>SUM(→:←!K18)</f>
        <v>118.55999355342125</v>
      </c>
      <c r="L18" s="72">
        <f>SUM(→:←!L18)</f>
        <v>8.1328498066026409</v>
      </c>
      <c r="M18" s="72">
        <f>SUM(→:←!M18)</f>
        <v>106.92000000000003</v>
      </c>
      <c r="N18" s="72">
        <f>SUM(→:←!N18)</f>
        <v>39.6</v>
      </c>
      <c r="O18" s="72">
        <f>SUM(→:←!O18)</f>
        <v>13.200000000000001</v>
      </c>
      <c r="P18" s="72">
        <f>SUM(→:←!P18)</f>
        <v>10.560000000000002</v>
      </c>
      <c r="Q18" s="72">
        <f>SUM(→:←!Q18)</f>
        <v>6.6000000000000005</v>
      </c>
      <c r="R18" s="72">
        <f>SUM(→:←!R18)</f>
        <v>12</v>
      </c>
      <c r="S18" s="74">
        <f>SUM(→:←!S18)</f>
        <v>0</v>
      </c>
      <c r="T18" s="76">
        <f>SUM(→:←!T18)</f>
        <v>315.57284336002391</v>
      </c>
      <c r="U18" s="75">
        <f>SUM(→:←!U18)</f>
        <v>153.6420846399761</v>
      </c>
      <c r="V18" s="71">
        <f>SUM(→:←!V18)</f>
        <v>6</v>
      </c>
      <c r="W18" s="72">
        <f>SUM(→:←!W18)</f>
        <v>4.8000000000000007</v>
      </c>
      <c r="X18" s="72">
        <f>SUM(→:←!X18)</f>
        <v>12</v>
      </c>
      <c r="Y18" s="72">
        <f>SUM(→:←!Y18)</f>
        <v>12</v>
      </c>
      <c r="Z18" s="72">
        <f>SUM(→:←!Z18)</f>
        <v>8.9169999999999998</v>
      </c>
      <c r="AA18" s="72">
        <f>SUM(→:←!AA18)</f>
        <v>0</v>
      </c>
      <c r="AB18" s="74">
        <f>SUM(→:←!AB18)</f>
        <v>0</v>
      </c>
      <c r="AC18" s="76">
        <f>SUM(→:←!AC18)</f>
        <v>43.716999999999999</v>
      </c>
      <c r="AD18" s="75">
        <f>SUM(→:←!AD18)</f>
        <v>109.92508463997612</v>
      </c>
      <c r="AE18" s="5">
        <f>SUM(→:←!AE18)</f>
        <v>60</v>
      </c>
      <c r="AF18" s="3">
        <f>SUM(→:←!AF18)</f>
        <v>0</v>
      </c>
      <c r="AG18" s="3">
        <f>SUM(→:←!AG18)</f>
        <v>0</v>
      </c>
      <c r="AH18" s="3">
        <f>SUM(→:←!AH18)</f>
        <v>0</v>
      </c>
      <c r="AI18" s="3">
        <f>SUM(→:←!AI18)</f>
        <v>0</v>
      </c>
      <c r="AJ18" s="14">
        <f>SUM(→:←!AJ18)</f>
        <v>21.5</v>
      </c>
      <c r="AK18" s="18">
        <f>SUM(→:←!AK18)</f>
        <v>81.5</v>
      </c>
      <c r="AL18" s="24">
        <f>SUM(→:←!AL18)</f>
        <v>28.42508463997612</v>
      </c>
      <c r="AM18" s="75">
        <f>SUM(→:←!AM18)</f>
        <v>-294.99602627346871</v>
      </c>
      <c r="AN18" s="1">
        <f t="shared" si="4"/>
        <v>-206.49721839142845</v>
      </c>
      <c r="AO18" s="1">
        <f t="shared" si="8"/>
        <v>-97.772859493199576</v>
      </c>
      <c r="AP18" s="24">
        <f t="shared" si="0"/>
        <v>-304.27007788462799</v>
      </c>
      <c r="AQ18" s="24">
        <f t="shared" si="5"/>
        <v>-7.4192412889274237</v>
      </c>
      <c r="AS18" s="1">
        <f>SUM(K18:$K$70)</f>
        <v>3912.4797872629047</v>
      </c>
      <c r="AT18" s="1">
        <f t="shared" si="6"/>
        <v>-4207.4758135363736</v>
      </c>
      <c r="AV18" s="24">
        <f t="shared" si="7"/>
        <v>440.78984336002389</v>
      </c>
      <c r="AX18" s="78">
        <f t="shared" si="9"/>
        <v>10440.789843360024</v>
      </c>
      <c r="AY18" s="78" t="str">
        <f>IF($AH18&gt;0,"車,","")&amp;IF($AF18&gt;0,"リフォーム,","")&amp;IF(子1!C18=18,"大学入学,","")&amp;IF(子2!C18=18,"大学入学,","")&amp;IF(子3!C18=18,"大学入学,","")&amp;IF(子4!C18=18,"大学入学,","")</f>
        <v/>
      </c>
    </row>
    <row r="19" spans="2:51" x14ac:dyDescent="0.25">
      <c r="B19" s="71">
        <f t="shared" si="2"/>
        <v>2035</v>
      </c>
      <c r="C19" s="72">
        <f t="shared" si="3"/>
        <v>37</v>
      </c>
      <c r="D19" s="73">
        <f>SUM(→:←!D19)</f>
        <v>637.18708734461859</v>
      </c>
      <c r="E19" s="72">
        <f>SUM(→:←!E19)</f>
        <v>510.82040000000006</v>
      </c>
      <c r="F19" s="72">
        <f>SUM(→:←!F19)</f>
        <v>0</v>
      </c>
      <c r="G19" s="72">
        <f>SUM(→:←!G19)</f>
        <v>0</v>
      </c>
      <c r="H19" s="72">
        <f>SUM(→:←!H19)</f>
        <v>0</v>
      </c>
      <c r="I19" s="74">
        <f>SUM(→:←!I19)</f>
        <v>0</v>
      </c>
      <c r="J19" s="75">
        <f>SUM(→:←!J19)</f>
        <v>510.82040000000006</v>
      </c>
      <c r="K19" s="71">
        <f>SUM(→:←!K19)</f>
        <v>118.55999355342125</v>
      </c>
      <c r="L19" s="72">
        <f>SUM(→:←!L19)</f>
        <v>9.1871297421368556</v>
      </c>
      <c r="M19" s="72">
        <f>SUM(→:←!M19)</f>
        <v>106.92000000000003</v>
      </c>
      <c r="N19" s="72">
        <f>SUM(→:←!N19)</f>
        <v>39.6</v>
      </c>
      <c r="O19" s="72">
        <f>SUM(→:←!O19)</f>
        <v>13.200000000000001</v>
      </c>
      <c r="P19" s="72">
        <f>SUM(→:←!P19)</f>
        <v>10.560000000000002</v>
      </c>
      <c r="Q19" s="72">
        <f>SUM(→:←!Q19)</f>
        <v>6.6000000000000005</v>
      </c>
      <c r="R19" s="72">
        <f>SUM(→:←!R19)</f>
        <v>12</v>
      </c>
      <c r="S19" s="74">
        <f>SUM(→:←!S19)</f>
        <v>0</v>
      </c>
      <c r="T19" s="76">
        <f>SUM(→:←!T19)</f>
        <v>316.62712329555814</v>
      </c>
      <c r="U19" s="75">
        <f>SUM(→:←!U19)</f>
        <v>194.19327670444184</v>
      </c>
      <c r="V19" s="71">
        <f>SUM(→:←!V19)</f>
        <v>6</v>
      </c>
      <c r="W19" s="72">
        <f>SUM(→:←!W19)</f>
        <v>4.8000000000000007</v>
      </c>
      <c r="X19" s="72">
        <f>SUM(→:←!X19)</f>
        <v>24</v>
      </c>
      <c r="Y19" s="72">
        <f>SUM(→:←!Y19)</f>
        <v>0</v>
      </c>
      <c r="Z19" s="72">
        <f>SUM(→:←!Z19)</f>
        <v>15.541399999999999</v>
      </c>
      <c r="AA19" s="72">
        <f>SUM(→:←!AA19)</f>
        <v>0</v>
      </c>
      <c r="AB19" s="74">
        <f>SUM(→:←!AB19)</f>
        <v>0</v>
      </c>
      <c r="AC19" s="76">
        <f>SUM(→:←!AC19)</f>
        <v>50.3414</v>
      </c>
      <c r="AD19" s="75">
        <f>SUM(→:←!AD19)</f>
        <v>143.85187670444193</v>
      </c>
      <c r="AE19" s="5">
        <f>SUM(→:←!AE19)</f>
        <v>60</v>
      </c>
      <c r="AF19" s="3">
        <f>SUM(→:←!AF19)</f>
        <v>0</v>
      </c>
      <c r="AG19" s="3">
        <f>SUM(→:←!AG19)</f>
        <v>0</v>
      </c>
      <c r="AH19" s="3">
        <f>SUM(→:←!AH19)</f>
        <v>0</v>
      </c>
      <c r="AI19" s="3">
        <f>SUM(→:←!AI19)</f>
        <v>0</v>
      </c>
      <c r="AJ19" s="14">
        <f>SUM(→:←!AJ19)</f>
        <v>21.5</v>
      </c>
      <c r="AK19" s="18">
        <f>SUM(→:←!AK19)</f>
        <v>81.5</v>
      </c>
      <c r="AL19" s="24">
        <f>SUM(→:←!AL19)</f>
        <v>62.351876704441906</v>
      </c>
      <c r="AM19" s="75">
        <f>SUM(→:←!AM19)</f>
        <v>-232.64414956902715</v>
      </c>
      <c r="AN19" s="1">
        <f t="shared" si="4"/>
        <v>-162.85090469831911</v>
      </c>
      <c r="AO19" s="1">
        <f t="shared" si="8"/>
        <v>-83.955939456526991</v>
      </c>
      <c r="AP19" s="24">
        <f t="shared" si="0"/>
        <v>-246.80684415484609</v>
      </c>
      <c r="AQ19" s="24">
        <f t="shared" si="5"/>
        <v>-11.330155668655152</v>
      </c>
      <c r="AS19" s="1">
        <f>SUM(K19:$K$70)</f>
        <v>3793.9197937094832</v>
      </c>
      <c r="AT19" s="1">
        <f t="shared" si="6"/>
        <v>-4026.5639432785101</v>
      </c>
      <c r="AV19" s="24">
        <f t="shared" si="7"/>
        <v>448.46852329555816</v>
      </c>
      <c r="AX19" s="78">
        <f t="shared" si="9"/>
        <v>10448.468523295558</v>
      </c>
      <c r="AY19" s="78" t="str">
        <f>IF($AH19&gt;0,"車,","")&amp;IF($AF19&gt;0,"リフォーム,","")&amp;IF(子1!C19=18,"大学入学,","")&amp;IF(子2!C19=18,"大学入学,","")&amp;IF(子3!C19=18,"大学入学,","")&amp;IF(子4!C19=18,"大学入学,","")</f>
        <v/>
      </c>
    </row>
    <row r="20" spans="2:51" x14ac:dyDescent="0.25">
      <c r="B20" s="71">
        <f t="shared" si="2"/>
        <v>2036</v>
      </c>
      <c r="C20" s="72">
        <f t="shared" si="3"/>
        <v>38</v>
      </c>
      <c r="D20" s="73">
        <f>SUM(→:←!D20)</f>
        <v>648.99635664485777</v>
      </c>
      <c r="E20" s="72">
        <f>SUM(→:←!E20)</f>
        <v>527.39699999999993</v>
      </c>
      <c r="F20" s="72">
        <f>SUM(→:←!F20)</f>
        <v>0</v>
      </c>
      <c r="G20" s="72">
        <f>SUM(→:←!G20)</f>
        <v>0</v>
      </c>
      <c r="H20" s="72">
        <f>SUM(→:←!H20)</f>
        <v>0</v>
      </c>
      <c r="I20" s="74">
        <f>SUM(→:←!I20)</f>
        <v>0</v>
      </c>
      <c r="J20" s="75">
        <f>SUM(→:←!J20)</f>
        <v>527.39699999999993</v>
      </c>
      <c r="K20" s="71">
        <f>SUM(→:←!K20)</f>
        <v>118.55999355342125</v>
      </c>
      <c r="L20" s="72">
        <f>SUM(→:←!L20)</f>
        <v>10.241409677671069</v>
      </c>
      <c r="M20" s="72">
        <f>SUM(→:←!M20)</f>
        <v>106.92000000000003</v>
      </c>
      <c r="N20" s="72">
        <f>SUM(→:←!N20)</f>
        <v>39.6</v>
      </c>
      <c r="O20" s="72">
        <f>SUM(→:←!O20)</f>
        <v>13.200000000000001</v>
      </c>
      <c r="P20" s="72">
        <f>SUM(→:←!P20)</f>
        <v>10.560000000000002</v>
      </c>
      <c r="Q20" s="72">
        <f>SUM(→:←!Q20)</f>
        <v>6.6000000000000005</v>
      </c>
      <c r="R20" s="72">
        <f>SUM(→:←!R20)</f>
        <v>12</v>
      </c>
      <c r="S20" s="74">
        <f>SUM(→:←!S20)</f>
        <v>0</v>
      </c>
      <c r="T20" s="76">
        <f>SUM(→:←!T20)</f>
        <v>317.6814032310923</v>
      </c>
      <c r="U20" s="75">
        <f>SUM(→:←!U20)</f>
        <v>209.71559676890763</v>
      </c>
      <c r="V20" s="71">
        <f>SUM(→:←!V20)</f>
        <v>6</v>
      </c>
      <c r="W20" s="72">
        <f>SUM(→:←!W20)</f>
        <v>7.2000000000000011</v>
      </c>
      <c r="X20" s="72">
        <f>SUM(→:←!X20)</f>
        <v>24</v>
      </c>
      <c r="Y20" s="72">
        <f>SUM(→:←!Y20)</f>
        <v>0</v>
      </c>
      <c r="Z20" s="72">
        <f>SUM(→:←!Z20)</f>
        <v>9.2835000000000001</v>
      </c>
      <c r="AA20" s="72">
        <f>SUM(→:←!AA20)</f>
        <v>0</v>
      </c>
      <c r="AB20" s="74">
        <f>SUM(→:←!AB20)</f>
        <v>0</v>
      </c>
      <c r="AC20" s="76">
        <f>SUM(→:←!AC20)</f>
        <v>46.483500000000006</v>
      </c>
      <c r="AD20" s="75">
        <f>SUM(→:←!AD20)</f>
        <v>163.23209676890764</v>
      </c>
      <c r="AE20" s="5">
        <f>SUM(→:←!AE20)</f>
        <v>60</v>
      </c>
      <c r="AF20" s="3">
        <f>SUM(→:←!AF20)</f>
        <v>0</v>
      </c>
      <c r="AG20" s="3">
        <f>SUM(→:←!AG20)</f>
        <v>0</v>
      </c>
      <c r="AH20" s="3">
        <f>SUM(→:←!AH20)</f>
        <v>0</v>
      </c>
      <c r="AI20" s="3">
        <f>SUM(→:←!AI20)</f>
        <v>0</v>
      </c>
      <c r="AJ20" s="14">
        <f>SUM(→:←!AJ20)</f>
        <v>21.5</v>
      </c>
      <c r="AK20" s="18">
        <f>SUM(→:←!AK20)</f>
        <v>81.5</v>
      </c>
      <c r="AL20" s="24">
        <f>SUM(→:←!AL20)</f>
        <v>81.732096768907638</v>
      </c>
      <c r="AM20" s="75">
        <f>SUM(→:←!AM20)</f>
        <v>-150.91205280011945</v>
      </c>
      <c r="AN20" s="1">
        <f t="shared" si="4"/>
        <v>-105.63843696008377</v>
      </c>
      <c r="AO20" s="1">
        <f t="shared" si="8"/>
        <v>-63.634107398681053</v>
      </c>
      <c r="AP20" s="24">
        <f t="shared" si="0"/>
        <v>-169.27254435876483</v>
      </c>
      <c r="AQ20" s="24">
        <f t="shared" si="5"/>
        <v>-14.688393246916304</v>
      </c>
      <c r="AS20" s="1">
        <f>SUM(K20:$K$70)</f>
        <v>3675.3598001560617</v>
      </c>
      <c r="AT20" s="1">
        <f t="shared" si="6"/>
        <v>-3826.2718529561812</v>
      </c>
      <c r="AV20" s="24">
        <f t="shared" si="7"/>
        <v>445.6649032310923</v>
      </c>
      <c r="AX20" s="78">
        <f t="shared" si="9"/>
        <v>10445.664903231092</v>
      </c>
      <c r="AY20" s="78" t="str">
        <f>IF($AH20&gt;0,"車,","")&amp;IF($AF20&gt;0,"リフォーム,","")&amp;IF(子1!C20=18,"大学入学,","")&amp;IF(子2!C20=18,"大学入学,","")&amp;IF(子3!C20=18,"大学入学,","")&amp;IF(子4!C20=18,"大学入学,","")</f>
        <v/>
      </c>
    </row>
    <row r="21" spans="2:51" x14ac:dyDescent="0.25">
      <c r="B21" s="71">
        <f t="shared" si="2"/>
        <v>2037</v>
      </c>
      <c r="C21" s="72">
        <f t="shared" si="3"/>
        <v>39</v>
      </c>
      <c r="D21" s="73">
        <f>SUM(→:←!D21)</f>
        <v>661.02449234112964</v>
      </c>
      <c r="E21" s="72">
        <f>SUM(→:←!E21)</f>
        <v>535.79700000000003</v>
      </c>
      <c r="F21" s="72">
        <f>SUM(→:←!F21)</f>
        <v>0</v>
      </c>
      <c r="G21" s="72">
        <f>SUM(→:←!G21)</f>
        <v>0</v>
      </c>
      <c r="H21" s="72">
        <f>SUM(→:←!H21)</f>
        <v>0</v>
      </c>
      <c r="I21" s="74">
        <f>SUM(→:←!I21)</f>
        <v>0</v>
      </c>
      <c r="J21" s="75">
        <f>SUM(→:←!J21)</f>
        <v>535.79700000000003</v>
      </c>
      <c r="K21" s="71">
        <f>SUM(→:←!K21)</f>
        <v>118.55999355342125</v>
      </c>
      <c r="L21" s="72">
        <f>SUM(→:←!L21)</f>
        <v>11.230029613205286</v>
      </c>
      <c r="M21" s="72">
        <f>SUM(→:←!M21)</f>
        <v>106.92000000000003</v>
      </c>
      <c r="N21" s="72">
        <f>SUM(→:←!N21)</f>
        <v>39.6</v>
      </c>
      <c r="O21" s="72">
        <f>SUM(→:←!O21)</f>
        <v>13.200000000000001</v>
      </c>
      <c r="P21" s="72">
        <f>SUM(→:←!P21)</f>
        <v>10.560000000000002</v>
      </c>
      <c r="Q21" s="72">
        <f>SUM(→:←!Q21)</f>
        <v>6.6000000000000005</v>
      </c>
      <c r="R21" s="72">
        <f>SUM(→:←!R21)</f>
        <v>12</v>
      </c>
      <c r="S21" s="74">
        <f>SUM(→:←!S21)</f>
        <v>0</v>
      </c>
      <c r="T21" s="76">
        <f>SUM(→:←!T21)</f>
        <v>318.67002316662655</v>
      </c>
      <c r="U21" s="75">
        <f>SUM(→:←!U21)</f>
        <v>217.12697683337339</v>
      </c>
      <c r="V21" s="71">
        <f>SUM(→:←!V21)</f>
        <v>6</v>
      </c>
      <c r="W21" s="72">
        <f>SUM(→:←!W21)</f>
        <v>7.2000000000000011</v>
      </c>
      <c r="X21" s="72">
        <f>SUM(→:←!X21)</f>
        <v>24</v>
      </c>
      <c r="Y21" s="72">
        <f>SUM(→:←!Y21)</f>
        <v>0</v>
      </c>
      <c r="Z21" s="72">
        <f>SUM(→:←!Z21)</f>
        <v>13.118500000000001</v>
      </c>
      <c r="AA21" s="72">
        <f>SUM(→:←!AA21)</f>
        <v>0</v>
      </c>
      <c r="AB21" s="74">
        <f>SUM(→:←!AB21)</f>
        <v>0</v>
      </c>
      <c r="AC21" s="76">
        <f>SUM(→:←!AC21)</f>
        <v>50.3185</v>
      </c>
      <c r="AD21" s="75">
        <f>SUM(→:←!AD21)</f>
        <v>166.80847683337342</v>
      </c>
      <c r="AE21" s="5">
        <f>SUM(→:←!AE21)</f>
        <v>60</v>
      </c>
      <c r="AF21" s="3">
        <f>SUM(→:←!AF21)</f>
        <v>0</v>
      </c>
      <c r="AG21" s="3">
        <f>SUM(→:←!AG21)</f>
        <v>57</v>
      </c>
      <c r="AH21" s="3">
        <f>SUM(→:←!AH21)</f>
        <v>0</v>
      </c>
      <c r="AI21" s="3">
        <f>SUM(→:←!AI21)</f>
        <v>0</v>
      </c>
      <c r="AJ21" s="14">
        <f>SUM(→:←!AJ21)</f>
        <v>21.5</v>
      </c>
      <c r="AK21" s="18">
        <f>SUM(→:←!AK21)</f>
        <v>138.5</v>
      </c>
      <c r="AL21" s="24">
        <f>SUM(→:←!AL21)</f>
        <v>28.308476833373419</v>
      </c>
      <c r="AM21" s="75">
        <f>SUM(→:←!AM21)</f>
        <v>-122.60357596674635</v>
      </c>
      <c r="AN21" s="1">
        <f t="shared" si="4"/>
        <v>-85.822503176722378</v>
      </c>
      <c r="AO21" s="1">
        <f t="shared" si="8"/>
        <v>-58.323269718603079</v>
      </c>
      <c r="AP21" s="24">
        <f t="shared" si="0"/>
        <v>-144.14577289532545</v>
      </c>
      <c r="AQ21" s="24">
        <f t="shared" si="5"/>
        <v>-17.233757542863284</v>
      </c>
      <c r="AS21" s="1">
        <f>SUM(K21:$K$70)</f>
        <v>3556.7998066026403</v>
      </c>
      <c r="AT21" s="1">
        <f t="shared" si="6"/>
        <v>-3679.4033825693868</v>
      </c>
      <c r="AV21" s="24">
        <f t="shared" si="7"/>
        <v>507.48852316662658</v>
      </c>
      <c r="AX21" s="78">
        <f t="shared" si="9"/>
        <v>10507.488523166627</v>
      </c>
      <c r="AY21" s="78" t="str">
        <f>IF($AH21&gt;0,"車,","")&amp;IF($AF21&gt;0,"リフォーム,","")&amp;IF(子1!C21=18,"大学入学,","")&amp;IF(子2!C21=18,"大学入学,","")&amp;IF(子3!C21=18,"大学入学,","")&amp;IF(子4!C21=18,"大学入学,","")</f>
        <v/>
      </c>
    </row>
    <row r="22" spans="2:51" x14ac:dyDescent="0.25">
      <c r="B22" s="71">
        <f t="shared" si="2"/>
        <v>2038</v>
      </c>
      <c r="C22" s="72">
        <f t="shared" si="3"/>
        <v>40</v>
      </c>
      <c r="D22" s="73">
        <f>SUM(→:←!D22)</f>
        <v>673.27555078087551</v>
      </c>
      <c r="E22" s="72">
        <f>SUM(→:←!E22)</f>
        <v>544.197</v>
      </c>
      <c r="F22" s="72">
        <f>SUM(→:←!F22)</f>
        <v>0</v>
      </c>
      <c r="G22" s="72">
        <f>SUM(→:←!G22)</f>
        <v>0</v>
      </c>
      <c r="H22" s="72">
        <f>SUM(→:←!H22)</f>
        <v>0</v>
      </c>
      <c r="I22" s="74">
        <f>SUM(→:←!I22)</f>
        <v>0</v>
      </c>
      <c r="J22" s="75">
        <f>SUM(→:←!J22)</f>
        <v>544.197</v>
      </c>
      <c r="K22" s="71">
        <f>SUM(→:←!K22)</f>
        <v>118.55999355342125</v>
      </c>
      <c r="L22" s="72">
        <f>SUM(→:←!L22)</f>
        <v>17.602769548739495</v>
      </c>
      <c r="M22" s="72">
        <f>SUM(→:←!M22)</f>
        <v>106.92000000000003</v>
      </c>
      <c r="N22" s="72">
        <f>SUM(→:←!N22)</f>
        <v>39.6</v>
      </c>
      <c r="O22" s="72">
        <f>SUM(→:←!O22)</f>
        <v>13.200000000000001</v>
      </c>
      <c r="P22" s="72">
        <f>SUM(→:←!P22)</f>
        <v>10.560000000000002</v>
      </c>
      <c r="Q22" s="72">
        <f>SUM(→:←!Q22)</f>
        <v>6.6000000000000005</v>
      </c>
      <c r="R22" s="72">
        <f>SUM(→:←!R22)</f>
        <v>12</v>
      </c>
      <c r="S22" s="74">
        <f>SUM(→:←!S22)</f>
        <v>0</v>
      </c>
      <c r="T22" s="76">
        <f>SUM(→:←!T22)</f>
        <v>325.04276310216073</v>
      </c>
      <c r="U22" s="75">
        <f>SUM(→:←!U22)</f>
        <v>219.15423689783927</v>
      </c>
      <c r="V22" s="71">
        <f>SUM(→:←!V22)</f>
        <v>6</v>
      </c>
      <c r="W22" s="72">
        <f>SUM(→:←!W22)</f>
        <v>7.2000000000000011</v>
      </c>
      <c r="X22" s="72">
        <f>SUM(→:←!X22)</f>
        <v>12</v>
      </c>
      <c r="Y22" s="72">
        <f>SUM(→:←!Y22)</f>
        <v>12</v>
      </c>
      <c r="Z22" s="72">
        <f>SUM(→:←!Z22)</f>
        <v>24.026</v>
      </c>
      <c r="AA22" s="72">
        <f>SUM(→:←!AA22)</f>
        <v>0</v>
      </c>
      <c r="AB22" s="74">
        <f>SUM(→:←!AB22)</f>
        <v>0</v>
      </c>
      <c r="AC22" s="76">
        <f>SUM(→:←!AC22)</f>
        <v>61.226000000000006</v>
      </c>
      <c r="AD22" s="75">
        <f>SUM(→:←!AD22)</f>
        <v>157.92823689783933</v>
      </c>
      <c r="AE22" s="5">
        <f>SUM(→:←!AE22)</f>
        <v>60</v>
      </c>
      <c r="AF22" s="3">
        <f>SUM(→:←!AF22)</f>
        <v>0</v>
      </c>
      <c r="AG22" s="3">
        <f>SUM(→:←!AG22)</f>
        <v>0</v>
      </c>
      <c r="AH22" s="3">
        <f>SUM(→:←!AH22)</f>
        <v>0</v>
      </c>
      <c r="AI22" s="3">
        <f>SUM(→:←!AI22)</f>
        <v>0</v>
      </c>
      <c r="AJ22" s="14">
        <f>SUM(→:←!AJ22)</f>
        <v>21.5</v>
      </c>
      <c r="AK22" s="18">
        <f>SUM(→:←!AK22)</f>
        <v>81.5</v>
      </c>
      <c r="AL22" s="24">
        <f>SUM(→:←!AL22)</f>
        <v>76.428236897839298</v>
      </c>
      <c r="AM22" s="75">
        <f>SUM(→:←!AM22)</f>
        <v>-46.175339068906851</v>
      </c>
      <c r="AN22" s="1">
        <f t="shared" si="4"/>
        <v>-32.322737348234874</v>
      </c>
      <c r="AO22" s="1">
        <f t="shared" si="8"/>
        <v>-38.310962135181441</v>
      </c>
      <c r="AP22" s="24">
        <f t="shared" si="0"/>
        <v>-70.633699483416308</v>
      </c>
      <c r="AQ22" s="24">
        <f t="shared" si="5"/>
        <v>-19.566688331607565</v>
      </c>
      <c r="AS22" s="1">
        <f>SUM(K22:$K$70)</f>
        <v>3438.2398130492188</v>
      </c>
      <c r="AT22" s="1">
        <f t="shared" si="6"/>
        <v>-3484.4151521181257</v>
      </c>
      <c r="AV22" s="24">
        <f t="shared" si="7"/>
        <v>467.76876310216073</v>
      </c>
      <c r="AX22" s="78">
        <f t="shared" si="9"/>
        <v>10467.76876310216</v>
      </c>
      <c r="AY22" s="78" t="str">
        <f>IF($AH22&gt;0,"車,","")&amp;IF($AF22&gt;0,"リフォーム,","")&amp;IF(子1!C22=18,"大学入学,","")&amp;IF(子2!C22=18,"大学入学,","")&amp;IF(子3!C22=18,"大学入学,","")&amp;IF(子4!C22=18,"大学入学,","")</f>
        <v/>
      </c>
    </row>
    <row r="23" spans="2:51" x14ac:dyDescent="0.25">
      <c r="B23" s="71">
        <f t="shared" si="2"/>
        <v>2039</v>
      </c>
      <c r="C23" s="72">
        <f t="shared" si="3"/>
        <v>41</v>
      </c>
      <c r="D23" s="73">
        <f>SUM(→:←!D23)</f>
        <v>684.52964532699445</v>
      </c>
      <c r="E23" s="72">
        <f>SUM(→:←!E23)</f>
        <v>548.22084000000007</v>
      </c>
      <c r="F23" s="72">
        <f>SUM(→:←!F23)</f>
        <v>0</v>
      </c>
      <c r="G23" s="72">
        <f>SUM(→:←!G23)</f>
        <v>0</v>
      </c>
      <c r="H23" s="72">
        <f>SUM(→:←!H23)</f>
        <v>0</v>
      </c>
      <c r="I23" s="74">
        <f>SUM(→:←!I23)</f>
        <v>0</v>
      </c>
      <c r="J23" s="75">
        <f>SUM(→:←!J23)</f>
        <v>548.22084000000007</v>
      </c>
      <c r="K23" s="71">
        <f>SUM(→:←!K23)</f>
        <v>118.55999355342125</v>
      </c>
      <c r="L23" s="72">
        <f>SUM(→:←!L23)</f>
        <v>18.525729484273711</v>
      </c>
      <c r="M23" s="72">
        <f>SUM(→:←!M23)</f>
        <v>106.92000000000003</v>
      </c>
      <c r="N23" s="72">
        <f>SUM(→:←!N23)</f>
        <v>39.6</v>
      </c>
      <c r="O23" s="72">
        <f>SUM(→:←!O23)</f>
        <v>13.200000000000001</v>
      </c>
      <c r="P23" s="72">
        <f>SUM(→:←!P23)</f>
        <v>10.560000000000002</v>
      </c>
      <c r="Q23" s="72">
        <f>SUM(→:←!Q23)</f>
        <v>6.6000000000000005</v>
      </c>
      <c r="R23" s="72">
        <f>SUM(→:←!R23)</f>
        <v>12</v>
      </c>
      <c r="S23" s="74">
        <f>SUM(→:←!S23)</f>
        <v>0</v>
      </c>
      <c r="T23" s="76">
        <f>SUM(→:←!T23)</f>
        <v>325.96572303769494</v>
      </c>
      <c r="U23" s="75">
        <f>SUM(→:←!U23)</f>
        <v>222.25511696230501</v>
      </c>
      <c r="V23" s="71">
        <f>SUM(→:←!V23)</f>
        <v>6</v>
      </c>
      <c r="W23" s="72">
        <f>SUM(→:←!W23)</f>
        <v>9.6000000000000014</v>
      </c>
      <c r="X23" s="72">
        <f>SUM(→:←!X23)</f>
        <v>12</v>
      </c>
      <c r="Y23" s="72">
        <f>SUM(→:←!Y23)</f>
        <v>12</v>
      </c>
      <c r="Z23" s="72">
        <f>SUM(→:←!Z23)</f>
        <v>16.1723</v>
      </c>
      <c r="AA23" s="72">
        <f>SUM(→:←!AA23)</f>
        <v>0</v>
      </c>
      <c r="AB23" s="74">
        <f>SUM(→:←!AB23)</f>
        <v>0</v>
      </c>
      <c r="AC23" s="76">
        <f>SUM(→:←!AC23)</f>
        <v>55.772300000000008</v>
      </c>
      <c r="AD23" s="75">
        <f>SUM(→:←!AD23)</f>
        <v>166.48281696230504</v>
      </c>
      <c r="AE23" s="5">
        <f>SUM(→:←!AE23)</f>
        <v>60</v>
      </c>
      <c r="AF23" s="3">
        <f>SUM(→:←!AF23)</f>
        <v>0</v>
      </c>
      <c r="AG23" s="3">
        <f>SUM(→:←!AG23)</f>
        <v>0</v>
      </c>
      <c r="AH23" s="3">
        <f>SUM(→:←!AH23)</f>
        <v>300</v>
      </c>
      <c r="AI23" s="3">
        <f>SUM(→:←!AI23)</f>
        <v>0</v>
      </c>
      <c r="AJ23" s="14">
        <f>SUM(→:←!AJ23)</f>
        <v>21.5</v>
      </c>
      <c r="AK23" s="18">
        <f>SUM(→:←!AK23)</f>
        <v>381.5</v>
      </c>
      <c r="AL23" s="24">
        <f>SUM(→:←!AL23)</f>
        <v>-215.01718303769493</v>
      </c>
      <c r="AM23" s="75">
        <f>SUM(→:←!AM23)</f>
        <v>-261.19252210660261</v>
      </c>
      <c r="AN23" s="1">
        <f t="shared" si="4"/>
        <v>-182.83476547462132</v>
      </c>
      <c r="AO23" s="1">
        <f t="shared" si="8"/>
        <v>-104.731665153249</v>
      </c>
      <c r="AP23" s="24">
        <f t="shared" si="0"/>
        <v>-287.56643062787032</v>
      </c>
      <c r="AQ23" s="24">
        <f t="shared" si="5"/>
        <v>-21.099126817014167</v>
      </c>
      <c r="AS23" s="1">
        <f>SUM(K23:$K$70)</f>
        <v>3319.6798194957973</v>
      </c>
      <c r="AT23" s="1">
        <f t="shared" si="6"/>
        <v>-3580.8723416024</v>
      </c>
      <c r="AV23" s="24">
        <f t="shared" si="7"/>
        <v>763.23802303769503</v>
      </c>
      <c r="AX23" s="78">
        <f t="shared" si="9"/>
        <v>915.88562764523397</v>
      </c>
      <c r="AY23" s="78" t="str">
        <f>IF($AH23&gt;0,"車,","")&amp;IF($AF23&gt;0,"リフォーム,","")&amp;IF(子1!C23=18,"大学入学,","")&amp;IF(子2!C23=18,"大学入学,","")&amp;IF(子3!C23=18,"大学入学,","")&amp;IF(子4!C23=18,"大学入学,","")</f>
        <v>車,</v>
      </c>
    </row>
    <row r="24" spans="2:51" x14ac:dyDescent="0.25">
      <c r="B24" s="71">
        <f t="shared" si="2"/>
        <v>2040</v>
      </c>
      <c r="C24" s="72">
        <f t="shared" si="3"/>
        <v>42</v>
      </c>
      <c r="D24" s="73">
        <f>SUM(→:←!D24)</f>
        <v>695.97237177894874</v>
      </c>
      <c r="E24" s="72">
        <f>SUM(→:←!E24)</f>
        <v>563.89137000000005</v>
      </c>
      <c r="F24" s="72">
        <f>SUM(→:←!F24)</f>
        <v>0</v>
      </c>
      <c r="G24" s="72">
        <f>SUM(→:←!G24)</f>
        <v>0</v>
      </c>
      <c r="H24" s="72">
        <f>SUM(→:←!H24)</f>
        <v>0</v>
      </c>
      <c r="I24" s="74">
        <f>SUM(→:←!I24)</f>
        <v>0</v>
      </c>
      <c r="J24" s="75">
        <f>SUM(→:←!J24)</f>
        <v>563.89137000000005</v>
      </c>
      <c r="K24" s="71">
        <f>SUM(→:←!K24)</f>
        <v>118.55999355342125</v>
      </c>
      <c r="L24" s="72">
        <f>SUM(→:←!L24)</f>
        <v>19.317369419807928</v>
      </c>
      <c r="M24" s="72">
        <f>SUM(→:←!M24)</f>
        <v>106.92000000000003</v>
      </c>
      <c r="N24" s="72">
        <f>SUM(→:←!N24)</f>
        <v>39.6</v>
      </c>
      <c r="O24" s="72">
        <f>SUM(→:←!O24)</f>
        <v>13.200000000000001</v>
      </c>
      <c r="P24" s="72">
        <f>SUM(→:←!P24)</f>
        <v>10.560000000000002</v>
      </c>
      <c r="Q24" s="72">
        <f>SUM(→:←!Q24)</f>
        <v>6.6000000000000005</v>
      </c>
      <c r="R24" s="72">
        <f>SUM(→:←!R24)</f>
        <v>12</v>
      </c>
      <c r="S24" s="74">
        <f>SUM(→:←!S24)</f>
        <v>0</v>
      </c>
      <c r="T24" s="76">
        <f>SUM(→:←!T24)</f>
        <v>326.75736297322919</v>
      </c>
      <c r="U24" s="75">
        <f>SUM(→:←!U24)</f>
        <v>237.13400702677077</v>
      </c>
      <c r="V24" s="71">
        <f>SUM(→:←!V24)</f>
        <v>6</v>
      </c>
      <c r="W24" s="72">
        <f>SUM(→:←!W24)</f>
        <v>9.6000000000000014</v>
      </c>
      <c r="X24" s="72">
        <f>SUM(→:←!X24)</f>
        <v>12</v>
      </c>
      <c r="Y24" s="72">
        <f>SUM(→:←!Y24)</f>
        <v>12</v>
      </c>
      <c r="Z24" s="72">
        <f>SUM(→:←!Z24)</f>
        <v>20.3871</v>
      </c>
      <c r="AA24" s="72">
        <f>SUM(→:←!AA24)</f>
        <v>0</v>
      </c>
      <c r="AB24" s="74">
        <f>SUM(→:←!AB24)</f>
        <v>0</v>
      </c>
      <c r="AC24" s="76">
        <f>SUM(→:←!AC24)</f>
        <v>59.987099999999998</v>
      </c>
      <c r="AD24" s="75">
        <f>SUM(→:←!AD24)</f>
        <v>177.14690702677083</v>
      </c>
      <c r="AE24" s="5">
        <f>SUM(→:←!AE24)</f>
        <v>60</v>
      </c>
      <c r="AF24" s="3">
        <f>SUM(→:←!AF24)</f>
        <v>0</v>
      </c>
      <c r="AG24" s="3">
        <f>SUM(→:←!AG24)</f>
        <v>0</v>
      </c>
      <c r="AH24" s="3">
        <f>SUM(→:←!AH24)</f>
        <v>0</v>
      </c>
      <c r="AI24" s="3">
        <f>SUM(→:←!AI24)</f>
        <v>0</v>
      </c>
      <c r="AJ24" s="14">
        <f>SUM(→:←!AJ24)</f>
        <v>21.5</v>
      </c>
      <c r="AK24" s="18">
        <f>SUM(→:←!AK24)</f>
        <v>81.5</v>
      </c>
      <c r="AL24" s="24">
        <f>SUM(→:←!AL24)</f>
        <v>95.646907026770833</v>
      </c>
      <c r="AM24" s="75">
        <f>SUM(→:←!AM24)</f>
        <v>-165.5456150798318</v>
      </c>
      <c r="AN24" s="1">
        <f t="shared" si="4"/>
        <v>-115.88193055588174</v>
      </c>
      <c r="AO24" s="1">
        <f t="shared" si="8"/>
        <v>-81.274176302880207</v>
      </c>
      <c r="AP24" s="24">
        <f t="shared" si="0"/>
        <v>-197.15610685876194</v>
      </c>
      <c r="AQ24" s="24">
        <f t="shared" si="5"/>
        <v>-25.288393423144115</v>
      </c>
      <c r="AS24" s="1">
        <f>SUM(K24:$K$70)</f>
        <v>3201.1198259423759</v>
      </c>
      <c r="AT24" s="1">
        <f t="shared" si="6"/>
        <v>-3366.6654410222077</v>
      </c>
      <c r="AV24" s="24">
        <f t="shared" si="7"/>
        <v>468.24446297322919</v>
      </c>
      <c r="AX24" s="78">
        <f t="shared" si="9"/>
        <v>10468.244462973229</v>
      </c>
      <c r="AY24" s="78" t="str">
        <f>IF($AH24&gt;0,"車,","")&amp;IF($AF24&gt;0,"リフォーム,","")&amp;IF(子1!C24=18,"大学入学,","")&amp;IF(子2!C24=18,"大学入学,","")&amp;IF(子3!C24=18,"大学入学,","")&amp;IF(子4!C24=18,"大学入学,","")</f>
        <v/>
      </c>
    </row>
    <row r="25" spans="2:51" x14ac:dyDescent="0.25">
      <c r="B25" s="71">
        <f t="shared" si="2"/>
        <v>2041</v>
      </c>
      <c r="C25" s="72">
        <f t="shared" si="3"/>
        <v>43</v>
      </c>
      <c r="D25" s="73">
        <f>SUM(→:←!D25)</f>
        <v>707.31313677211608</v>
      </c>
      <c r="E25" s="72">
        <f>SUM(→:←!E25)</f>
        <v>572.29137000000003</v>
      </c>
      <c r="F25" s="72">
        <f>SUM(→:←!F25)</f>
        <v>0</v>
      </c>
      <c r="G25" s="72">
        <f>SUM(→:←!G25)</f>
        <v>0</v>
      </c>
      <c r="H25" s="72">
        <f>SUM(→:←!H25)</f>
        <v>0</v>
      </c>
      <c r="I25" s="74">
        <f>SUM(→:←!I25)</f>
        <v>0</v>
      </c>
      <c r="J25" s="75">
        <f>SUM(→:←!J25)</f>
        <v>572.29137000000003</v>
      </c>
      <c r="K25" s="71">
        <f>SUM(→:←!K25)</f>
        <v>118.55999355342125</v>
      </c>
      <c r="L25" s="72">
        <f>SUM(→:←!L25)</f>
        <v>20.240329355342141</v>
      </c>
      <c r="M25" s="72">
        <f>SUM(→:←!M25)</f>
        <v>106.92000000000003</v>
      </c>
      <c r="N25" s="72">
        <f>SUM(→:←!N25)</f>
        <v>39.6</v>
      </c>
      <c r="O25" s="72">
        <f>SUM(→:←!O25)</f>
        <v>13.200000000000001</v>
      </c>
      <c r="P25" s="72">
        <f>SUM(→:←!P25)</f>
        <v>10.560000000000002</v>
      </c>
      <c r="Q25" s="72">
        <f>SUM(→:←!Q25)</f>
        <v>6.6000000000000005</v>
      </c>
      <c r="R25" s="72">
        <f>SUM(→:←!R25)</f>
        <v>12</v>
      </c>
      <c r="S25" s="74">
        <f>SUM(→:←!S25)</f>
        <v>0</v>
      </c>
      <c r="T25" s="76">
        <f>SUM(→:←!T25)</f>
        <v>327.6803229087634</v>
      </c>
      <c r="U25" s="75">
        <f>SUM(→:←!U25)</f>
        <v>244.61104709123663</v>
      </c>
      <c r="V25" s="71">
        <f>SUM(→:←!V25)</f>
        <v>6</v>
      </c>
      <c r="W25" s="72">
        <f>SUM(→:←!W25)</f>
        <v>9.6000000000000014</v>
      </c>
      <c r="X25" s="72">
        <f>SUM(→:←!X25)</f>
        <v>0</v>
      </c>
      <c r="Y25" s="72">
        <f>SUM(→:←!Y25)</f>
        <v>36</v>
      </c>
      <c r="Z25" s="72">
        <f>SUM(→:←!Z25)</f>
        <v>56.497299999999996</v>
      </c>
      <c r="AA25" s="72">
        <f>SUM(→:←!AA25)</f>
        <v>0</v>
      </c>
      <c r="AB25" s="74">
        <f>SUM(→:←!AB25)</f>
        <v>0</v>
      </c>
      <c r="AC25" s="76">
        <f>SUM(→:←!AC25)</f>
        <v>108.09729999999999</v>
      </c>
      <c r="AD25" s="75">
        <f>SUM(→:←!AD25)</f>
        <v>136.51374709123667</v>
      </c>
      <c r="AE25" s="5">
        <f>SUM(→:←!AE25)</f>
        <v>60</v>
      </c>
      <c r="AF25" s="3">
        <f>SUM(→:←!AF25)</f>
        <v>0</v>
      </c>
      <c r="AG25" s="3">
        <f>SUM(→:←!AG25)</f>
        <v>0</v>
      </c>
      <c r="AH25" s="3">
        <f>SUM(→:←!AH25)</f>
        <v>0</v>
      </c>
      <c r="AI25" s="3">
        <f>SUM(→:←!AI25)</f>
        <v>0</v>
      </c>
      <c r="AJ25" s="14">
        <f>SUM(→:←!AJ25)</f>
        <v>21.5</v>
      </c>
      <c r="AK25" s="18">
        <f>SUM(→:←!AK25)</f>
        <v>81.5</v>
      </c>
      <c r="AL25" s="24">
        <f>SUM(→:←!AL25)</f>
        <v>55.013747091236667</v>
      </c>
      <c r="AM25" s="75">
        <f>SUM(→:←!AM25)</f>
        <v>-110.53186798859542</v>
      </c>
      <c r="AN25" s="1">
        <f t="shared" si="4"/>
        <v>-77.372307592016071</v>
      </c>
      <c r="AO25" s="1">
        <f t="shared" si="8"/>
        <v>-68.833760990653218</v>
      </c>
      <c r="AP25" s="24">
        <f t="shared" si="0"/>
        <v>-146.20606858266927</v>
      </c>
      <c r="AQ25" s="24">
        <f t="shared" si="5"/>
        <v>-28.539360475259084</v>
      </c>
      <c r="AS25" s="1">
        <f>SUM(K25:$K$70)</f>
        <v>3082.5598323889544</v>
      </c>
      <c r="AT25" s="1">
        <f t="shared" si="6"/>
        <v>-3193.0917003775498</v>
      </c>
      <c r="AV25" s="24">
        <f t="shared" si="7"/>
        <v>517.27762290876342</v>
      </c>
      <c r="AX25" s="78">
        <f t="shared" si="9"/>
        <v>10517.277622908763</v>
      </c>
      <c r="AY25" s="78" t="str">
        <f>IF($AH25&gt;0,"車,","")&amp;IF($AF25&gt;0,"リフォーム,","")&amp;IF(子1!C25=18,"大学入学,","")&amp;IF(子2!C25=18,"大学入学,","")&amp;IF(子3!C25=18,"大学入学,","")&amp;IF(子4!C25=18,"大学入学,","")</f>
        <v/>
      </c>
    </row>
    <row r="26" spans="2:51" x14ac:dyDescent="0.25">
      <c r="B26" s="71">
        <f t="shared" si="2"/>
        <v>2042</v>
      </c>
      <c r="C26" s="72">
        <f t="shared" si="3"/>
        <v>44</v>
      </c>
      <c r="D26" s="73">
        <f>SUM(→:←!D26)</f>
        <v>718.83869782306579</v>
      </c>
      <c r="E26" s="72">
        <f>SUM(→:←!E26)</f>
        <v>568.69137000000001</v>
      </c>
      <c r="F26" s="72">
        <f>SUM(→:←!F26)</f>
        <v>0</v>
      </c>
      <c r="G26" s="72">
        <f>SUM(→:←!G26)</f>
        <v>0</v>
      </c>
      <c r="H26" s="72">
        <f>SUM(→:←!H26)</f>
        <v>0</v>
      </c>
      <c r="I26" s="74">
        <f>SUM(→:←!I26)</f>
        <v>0</v>
      </c>
      <c r="J26" s="75">
        <f>SUM(→:←!J26)</f>
        <v>568.69137000000001</v>
      </c>
      <c r="K26" s="71">
        <f>SUM(→:←!K26)</f>
        <v>118.55999355342125</v>
      </c>
      <c r="L26" s="72">
        <f>SUM(→:←!L26)</f>
        <v>43.121689999999994</v>
      </c>
      <c r="M26" s="72">
        <f>SUM(→:←!M26)</f>
        <v>106.92000000000003</v>
      </c>
      <c r="N26" s="72">
        <f>SUM(→:←!N26)</f>
        <v>39.6</v>
      </c>
      <c r="O26" s="72">
        <f>SUM(→:←!O26)</f>
        <v>13.200000000000001</v>
      </c>
      <c r="P26" s="72">
        <f>SUM(→:←!P26)</f>
        <v>10.560000000000002</v>
      </c>
      <c r="Q26" s="72">
        <f>SUM(→:←!Q26)</f>
        <v>6.6000000000000005</v>
      </c>
      <c r="R26" s="72">
        <f>SUM(→:←!R26)</f>
        <v>12</v>
      </c>
      <c r="S26" s="74">
        <f>SUM(→:←!S26)</f>
        <v>0</v>
      </c>
      <c r="T26" s="76">
        <f>SUM(→:←!T26)</f>
        <v>350.56168355342129</v>
      </c>
      <c r="U26" s="75">
        <f>SUM(→:←!U26)</f>
        <v>218.12968644657877</v>
      </c>
      <c r="V26" s="71">
        <f>SUM(→:←!V26)</f>
        <v>6</v>
      </c>
      <c r="W26" s="72">
        <f>SUM(→:←!W26)</f>
        <v>9.6000000000000014</v>
      </c>
      <c r="X26" s="72">
        <f>SUM(→:←!X26)</f>
        <v>0</v>
      </c>
      <c r="Y26" s="72">
        <f>SUM(→:←!Y26)</f>
        <v>36</v>
      </c>
      <c r="Z26" s="72">
        <f>SUM(→:←!Z26)</f>
        <v>40.521299999999997</v>
      </c>
      <c r="AA26" s="72">
        <f>SUM(→:←!AA26)</f>
        <v>0</v>
      </c>
      <c r="AB26" s="74">
        <f>SUM(→:←!AB26)</f>
        <v>0</v>
      </c>
      <c r="AC26" s="76">
        <f>SUM(→:←!AC26)</f>
        <v>92.121299999999991</v>
      </c>
      <c r="AD26" s="75">
        <f>SUM(→:←!AD26)</f>
        <v>126.00838644657881</v>
      </c>
      <c r="AE26" s="5">
        <f>SUM(→:←!AE26)</f>
        <v>60</v>
      </c>
      <c r="AF26" s="3">
        <f>SUM(→:←!AF26)</f>
        <v>0</v>
      </c>
      <c r="AG26" s="3">
        <f>SUM(→:←!AG26)</f>
        <v>3</v>
      </c>
      <c r="AH26" s="3">
        <f>SUM(→:←!AH26)</f>
        <v>0</v>
      </c>
      <c r="AI26" s="3">
        <f>SUM(→:←!AI26)</f>
        <v>0</v>
      </c>
      <c r="AJ26" s="14">
        <f>SUM(→:←!AJ26)</f>
        <v>21.5</v>
      </c>
      <c r="AK26" s="18">
        <f>SUM(→:←!AK26)</f>
        <v>84.5</v>
      </c>
      <c r="AL26" s="24">
        <f>SUM(→:←!AL26)</f>
        <v>41.508386446578811</v>
      </c>
      <c r="AM26" s="75">
        <f>SUM(→:←!AM26)</f>
        <v>-69.023481542016725</v>
      </c>
      <c r="AN26" s="1">
        <f t="shared" si="4"/>
        <v>-48.316437079410903</v>
      </c>
      <c r="AO26" s="1">
        <f t="shared" si="8"/>
        <v>-59.822933106212233</v>
      </c>
      <c r="AP26" s="24">
        <f t="shared" si="0"/>
        <v>-108.13937018562314</v>
      </c>
      <c r="AQ26" s="24">
        <f t="shared" si="5"/>
        <v>-31.292710914885131</v>
      </c>
      <c r="AS26" s="1">
        <f>SUM(K26:$K$70)</f>
        <v>2963.999838835533</v>
      </c>
      <c r="AT26" s="1">
        <f t="shared" si="6"/>
        <v>-3033.0233203775497</v>
      </c>
      <c r="AV26" s="24">
        <f t="shared" si="7"/>
        <v>527.18298355342131</v>
      </c>
      <c r="AX26" s="78">
        <f t="shared" si="9"/>
        <v>10527.182983553421</v>
      </c>
      <c r="AY26" s="78" t="str">
        <f>IF($AH26&gt;0,"車,","")&amp;IF($AF26&gt;0,"リフォーム,","")&amp;IF(子1!C26=18,"大学入学,","")&amp;IF(子2!C26=18,"大学入学,","")&amp;IF(子3!C26=18,"大学入学,","")&amp;IF(子4!C26=18,"大学入学,","")</f>
        <v/>
      </c>
    </row>
    <row r="27" spans="2:51" x14ac:dyDescent="0.25">
      <c r="B27" s="71">
        <f t="shared" si="2"/>
        <v>2043</v>
      </c>
      <c r="C27" s="72">
        <f t="shared" si="3"/>
        <v>45</v>
      </c>
      <c r="D27" s="73">
        <f>SUM(→:←!D27)</f>
        <v>730.55206615573138</v>
      </c>
      <c r="E27" s="72">
        <f>SUM(→:←!E27)</f>
        <v>572.71520999999996</v>
      </c>
      <c r="F27" s="72">
        <f>SUM(→:←!F27)</f>
        <v>0</v>
      </c>
      <c r="G27" s="72">
        <f>SUM(→:←!G27)</f>
        <v>0</v>
      </c>
      <c r="H27" s="72">
        <f>SUM(→:←!H27)</f>
        <v>0</v>
      </c>
      <c r="I27" s="74">
        <f>SUM(→:←!I27)</f>
        <v>0</v>
      </c>
      <c r="J27" s="75">
        <f>SUM(→:←!J27)</f>
        <v>572.71520999999996</v>
      </c>
      <c r="K27" s="71">
        <f>SUM(→:←!K27)</f>
        <v>118.55999355342125</v>
      </c>
      <c r="L27" s="72">
        <f>SUM(→:←!L27)</f>
        <v>42.727729999999994</v>
      </c>
      <c r="M27" s="72">
        <f>SUM(→:←!M27)</f>
        <v>106.92000000000003</v>
      </c>
      <c r="N27" s="72">
        <f>SUM(→:←!N27)</f>
        <v>39.6</v>
      </c>
      <c r="O27" s="72">
        <f>SUM(→:←!O27)</f>
        <v>13.200000000000001</v>
      </c>
      <c r="P27" s="72">
        <f>SUM(→:←!P27)</f>
        <v>10.560000000000002</v>
      </c>
      <c r="Q27" s="72">
        <f>SUM(→:←!Q27)</f>
        <v>6.6000000000000005</v>
      </c>
      <c r="R27" s="72">
        <f>SUM(→:←!R27)</f>
        <v>12</v>
      </c>
      <c r="S27" s="74">
        <f>SUM(→:←!S27)</f>
        <v>0</v>
      </c>
      <c r="T27" s="76">
        <f>SUM(→:←!T27)</f>
        <v>350.1677235534213</v>
      </c>
      <c r="U27" s="75">
        <f>SUM(→:←!U27)</f>
        <v>222.54748644657872</v>
      </c>
      <c r="V27" s="71">
        <f>SUM(→:←!V27)</f>
        <v>6</v>
      </c>
      <c r="W27" s="72">
        <f>SUM(→:←!W27)</f>
        <v>9.6000000000000014</v>
      </c>
      <c r="X27" s="72">
        <f>SUM(→:←!X27)</f>
        <v>0</v>
      </c>
      <c r="Y27" s="72">
        <f>SUM(→:←!Y27)</f>
        <v>36</v>
      </c>
      <c r="Z27" s="72">
        <f>SUM(→:←!Z27)</f>
        <v>29.036000000000001</v>
      </c>
      <c r="AA27" s="72">
        <f>SUM(→:←!AA27)</f>
        <v>0</v>
      </c>
      <c r="AB27" s="74">
        <f>SUM(→:←!AB27)</f>
        <v>0</v>
      </c>
      <c r="AC27" s="76">
        <f>SUM(→:←!AC27)</f>
        <v>80.635999999999996</v>
      </c>
      <c r="AD27" s="75">
        <f>SUM(→:←!AD27)</f>
        <v>141.91148644657881</v>
      </c>
      <c r="AE27" s="5">
        <f>SUM(→:←!AE27)</f>
        <v>60</v>
      </c>
      <c r="AF27" s="3">
        <f>SUM(→:←!AF27)</f>
        <v>0</v>
      </c>
      <c r="AG27" s="3">
        <f>SUM(→:←!AG27)</f>
        <v>0</v>
      </c>
      <c r="AH27" s="3">
        <f>SUM(→:←!AH27)</f>
        <v>0</v>
      </c>
      <c r="AI27" s="3">
        <f>SUM(→:←!AI27)</f>
        <v>0</v>
      </c>
      <c r="AJ27" s="14">
        <f>SUM(→:←!AJ27)</f>
        <v>21.5</v>
      </c>
      <c r="AK27" s="18">
        <f>SUM(→:←!AK27)</f>
        <v>81.5</v>
      </c>
      <c r="AL27" s="24">
        <f>SUM(→:←!AL27)</f>
        <v>60.411486446578806</v>
      </c>
      <c r="AM27" s="75">
        <f>SUM(→:←!AM27)</f>
        <v>-8.6119950954362139</v>
      </c>
      <c r="AN27" s="1">
        <f t="shared" si="4"/>
        <v>-6.0283965668057391</v>
      </c>
      <c r="AO27" s="1">
        <f t="shared" si="8"/>
        <v>-44.690633827549206</v>
      </c>
      <c r="AP27" s="24">
        <f t="shared" si="0"/>
        <v>-50.719030394354945</v>
      </c>
      <c r="AQ27" s="24">
        <f t="shared" si="5"/>
        <v>-33.685628239134985</v>
      </c>
      <c r="AS27" s="1">
        <f>SUM(K27:$K$70)</f>
        <v>2845.4398452821115</v>
      </c>
      <c r="AT27" s="1">
        <f t="shared" si="6"/>
        <v>-2854.0518403775477</v>
      </c>
      <c r="AV27" s="24">
        <f t="shared" si="7"/>
        <v>512.30372355342126</v>
      </c>
      <c r="AX27" s="78">
        <f t="shared" si="9"/>
        <v>10512.303723553421</v>
      </c>
      <c r="AY27" s="78" t="str">
        <f>IF($AH27&gt;0,"車,","")&amp;IF($AF27&gt;0,"リフォーム,","")&amp;IF(子1!C27=18,"大学入学,","")&amp;IF(子2!C27=18,"大学入学,","")&amp;IF(子3!C27=18,"大学入学,","")&amp;IF(子4!C27=18,"大学入学,","")</f>
        <v/>
      </c>
    </row>
    <row r="28" spans="2:51" x14ac:dyDescent="0.25">
      <c r="B28" s="71">
        <f t="shared" si="2"/>
        <v>2044</v>
      </c>
      <c r="C28" s="72">
        <f t="shared" si="3"/>
        <v>46</v>
      </c>
      <c r="D28" s="73">
        <f>SUM(→:←!D28)</f>
        <v>742.58066098819859</v>
      </c>
      <c r="E28" s="72">
        <f>SUM(→:←!E28)</f>
        <v>581.11521000000005</v>
      </c>
      <c r="F28" s="72">
        <f>SUM(→:←!F28)</f>
        <v>0</v>
      </c>
      <c r="G28" s="72">
        <f>SUM(→:←!G28)</f>
        <v>0</v>
      </c>
      <c r="H28" s="72">
        <f>SUM(→:←!H28)</f>
        <v>0</v>
      </c>
      <c r="I28" s="74">
        <f>SUM(→:←!I28)</f>
        <v>0</v>
      </c>
      <c r="J28" s="75">
        <f>SUM(→:←!J28)</f>
        <v>581.11521000000005</v>
      </c>
      <c r="K28" s="71">
        <f>SUM(→:←!K28)</f>
        <v>118.55999355342125</v>
      </c>
      <c r="L28" s="72">
        <f>SUM(→:←!L28)</f>
        <v>42.465089999999996</v>
      </c>
      <c r="M28" s="72">
        <f>SUM(→:←!M28)</f>
        <v>106.92000000000003</v>
      </c>
      <c r="N28" s="72">
        <f>SUM(→:←!N28)</f>
        <v>39.6</v>
      </c>
      <c r="O28" s="72">
        <f>SUM(→:←!O28)</f>
        <v>13.200000000000001</v>
      </c>
      <c r="P28" s="72">
        <f>SUM(→:←!P28)</f>
        <v>10.560000000000002</v>
      </c>
      <c r="Q28" s="72">
        <f>SUM(→:←!Q28)</f>
        <v>6.6000000000000005</v>
      </c>
      <c r="R28" s="72">
        <f>SUM(→:←!R28)</f>
        <v>12</v>
      </c>
      <c r="S28" s="74">
        <f>SUM(→:←!S28)</f>
        <v>0</v>
      </c>
      <c r="T28" s="76">
        <f>SUM(→:←!T28)</f>
        <v>349.90508355342126</v>
      </c>
      <c r="U28" s="75">
        <f>SUM(→:←!U28)</f>
        <v>231.2101264465787</v>
      </c>
      <c r="V28" s="71">
        <f>SUM(→:←!V28)</f>
        <v>6</v>
      </c>
      <c r="W28" s="72">
        <f>SUM(→:←!W28)</f>
        <v>9.6000000000000014</v>
      </c>
      <c r="X28" s="72">
        <f>SUM(→:←!X28)</f>
        <v>0</v>
      </c>
      <c r="Y28" s="72">
        <f>SUM(→:←!Y28)</f>
        <v>24</v>
      </c>
      <c r="Z28" s="72">
        <f>SUM(→:←!Z28)</f>
        <v>130.26249999999999</v>
      </c>
      <c r="AA28" s="72">
        <f>SUM(→:←!AA28)</f>
        <v>0</v>
      </c>
      <c r="AB28" s="74">
        <f>SUM(→:←!AB28)</f>
        <v>0</v>
      </c>
      <c r="AC28" s="76">
        <f>SUM(→:←!AC28)</f>
        <v>169.86250000000001</v>
      </c>
      <c r="AD28" s="75">
        <f>SUM(→:←!AD28)</f>
        <v>61.347626446578744</v>
      </c>
      <c r="AE28" s="5">
        <f>SUM(→:←!AE28)</f>
        <v>60</v>
      </c>
      <c r="AF28" s="3">
        <f>SUM(→:←!AF28)</f>
        <v>0</v>
      </c>
      <c r="AG28" s="3">
        <f>SUM(→:←!AG28)</f>
        <v>0</v>
      </c>
      <c r="AH28" s="3">
        <f>SUM(→:←!AH28)</f>
        <v>0</v>
      </c>
      <c r="AI28" s="3">
        <f>SUM(→:←!AI28)</f>
        <v>0</v>
      </c>
      <c r="AJ28" s="14">
        <f>SUM(→:←!AJ28)</f>
        <v>21.5</v>
      </c>
      <c r="AK28" s="18">
        <f>SUM(→:←!AK28)</f>
        <v>81.5</v>
      </c>
      <c r="AL28" s="24">
        <f>SUM(→:←!AL28)</f>
        <v>-20.152373553421256</v>
      </c>
      <c r="AM28" s="75">
        <f>SUM(→:←!AM28)</f>
        <v>-28.764368648858635</v>
      </c>
      <c r="AN28" s="1">
        <f t="shared" si="4"/>
        <v>-20.13505805420062</v>
      </c>
      <c r="AO28" s="1">
        <f t="shared" si="8"/>
        <v>-52.970877584953044</v>
      </c>
      <c r="AP28" s="24">
        <f t="shared" si="0"/>
        <v>-73.105935639153671</v>
      </c>
      <c r="AQ28" s="24">
        <f t="shared" si="5"/>
        <v>-35.473253592236027</v>
      </c>
      <c r="AS28" s="1">
        <f>SUM(K28:$K$70)</f>
        <v>2726.87985172869</v>
      </c>
      <c r="AT28" s="1">
        <f t="shared" si="6"/>
        <v>-2755.6442203775487</v>
      </c>
      <c r="AV28" s="24">
        <f t="shared" si="7"/>
        <v>601.26758355342122</v>
      </c>
      <c r="AX28" s="78">
        <f t="shared" si="9"/>
        <v>721.52110026410548</v>
      </c>
      <c r="AY28" s="78" t="str">
        <f>IF($AH28&gt;0,"車,","")&amp;IF($AF28&gt;0,"リフォーム,","")&amp;IF(子1!C28=18,"大学入学,","")&amp;IF(子2!C28=18,"大学入学,","")&amp;IF(子3!C28=18,"大学入学,","")&amp;IF(子4!C28=18,"大学入学,","")</f>
        <v>大学入学,</v>
      </c>
    </row>
    <row r="29" spans="2:51" x14ac:dyDescent="0.25">
      <c r="B29" s="71">
        <f t="shared" si="2"/>
        <v>2045</v>
      </c>
      <c r="C29" s="72">
        <f t="shared" si="3"/>
        <v>47</v>
      </c>
      <c r="D29" s="73">
        <f>SUM(→:←!D29)</f>
        <v>754.80731246017626</v>
      </c>
      <c r="E29" s="72">
        <f>SUM(→:←!E29)</f>
        <v>584.77529800000002</v>
      </c>
      <c r="F29" s="72">
        <f>SUM(→:←!F29)</f>
        <v>0</v>
      </c>
      <c r="G29" s="72">
        <f>SUM(→:←!G29)</f>
        <v>0</v>
      </c>
      <c r="H29" s="72">
        <f>SUM(→:←!H29)</f>
        <v>0</v>
      </c>
      <c r="I29" s="74">
        <f>SUM(→:←!I29)</f>
        <v>0</v>
      </c>
      <c r="J29" s="75">
        <f>SUM(→:←!J29)</f>
        <v>584.77529800000002</v>
      </c>
      <c r="K29" s="71">
        <f>SUM(→:←!K29)</f>
        <v>118.55999355342125</v>
      </c>
      <c r="L29" s="72">
        <f>SUM(→:←!L29)</f>
        <v>42.202449999999999</v>
      </c>
      <c r="M29" s="72">
        <f>SUM(→:←!M29)</f>
        <v>106.92000000000003</v>
      </c>
      <c r="N29" s="72">
        <f>SUM(→:←!N29)</f>
        <v>39.6</v>
      </c>
      <c r="O29" s="72">
        <f>SUM(→:←!O29)</f>
        <v>13.200000000000001</v>
      </c>
      <c r="P29" s="72">
        <f>SUM(→:←!P29)</f>
        <v>10.560000000000002</v>
      </c>
      <c r="Q29" s="72">
        <f>SUM(→:←!Q29)</f>
        <v>6.6000000000000005</v>
      </c>
      <c r="R29" s="72">
        <f>SUM(→:←!R29)</f>
        <v>12</v>
      </c>
      <c r="S29" s="74">
        <f>SUM(→:←!S29)</f>
        <v>0</v>
      </c>
      <c r="T29" s="76">
        <f>SUM(→:←!T29)</f>
        <v>349.64244355342123</v>
      </c>
      <c r="U29" s="75">
        <f>SUM(→:←!U29)</f>
        <v>235.13285444657868</v>
      </c>
      <c r="V29" s="71">
        <f>SUM(→:←!V29)</f>
        <v>6</v>
      </c>
      <c r="W29" s="72">
        <f>SUM(→:←!W29)</f>
        <v>9.6000000000000014</v>
      </c>
      <c r="X29" s="72">
        <f>SUM(→:←!X29)</f>
        <v>0</v>
      </c>
      <c r="Y29" s="72">
        <f>SUM(→:←!Y29)</f>
        <v>24</v>
      </c>
      <c r="Z29" s="72">
        <f>SUM(→:←!Z29)</f>
        <v>83.564799999999991</v>
      </c>
      <c r="AA29" s="72">
        <f>SUM(→:←!AA29)</f>
        <v>0</v>
      </c>
      <c r="AB29" s="74">
        <f>SUM(→:←!AB29)</f>
        <v>0</v>
      </c>
      <c r="AC29" s="76">
        <f>SUM(→:←!AC29)</f>
        <v>123.1648</v>
      </c>
      <c r="AD29" s="75">
        <f>SUM(→:←!AD29)</f>
        <v>111.96805444657872</v>
      </c>
      <c r="AE29" s="5">
        <f>SUM(→:←!AE29)</f>
        <v>54</v>
      </c>
      <c r="AF29" s="3">
        <f>SUM(→:←!AF29)</f>
        <v>0</v>
      </c>
      <c r="AG29" s="3">
        <f>SUM(→:←!AG29)</f>
        <v>0</v>
      </c>
      <c r="AH29" s="3">
        <f>SUM(→:←!AH29)</f>
        <v>0</v>
      </c>
      <c r="AI29" s="3">
        <f>SUM(→:←!AI29)</f>
        <v>0</v>
      </c>
      <c r="AJ29" s="14">
        <f>SUM(→:←!AJ29)</f>
        <v>21.5</v>
      </c>
      <c r="AK29" s="18">
        <f>SUM(→:←!AK29)</f>
        <v>75.5</v>
      </c>
      <c r="AL29" s="24">
        <f>SUM(→:←!AL29)</f>
        <v>36.468054446578719</v>
      </c>
      <c r="AM29" s="75">
        <f>SUM(→:←!AM29)</f>
        <v>7.7036857977209365</v>
      </c>
      <c r="AN29" s="1">
        <f t="shared" si="4"/>
        <v>5.3925800584044836</v>
      </c>
      <c r="AO29" s="1">
        <f t="shared" si="8"/>
        <v>-44.679005130227083</v>
      </c>
      <c r="AP29" s="24">
        <f t="shared" si="0"/>
        <v>-39.286425071822599</v>
      </c>
      <c r="AQ29" s="24">
        <f t="shared" si="5"/>
        <v>-37.592088695634828</v>
      </c>
      <c r="AS29" s="1">
        <f>SUM(K29:$K$70)</f>
        <v>2608.3198581752686</v>
      </c>
      <c r="AT29" s="1">
        <f t="shared" si="6"/>
        <v>-2600.6161723775476</v>
      </c>
      <c r="AV29" s="24">
        <f t="shared" si="7"/>
        <v>548.30724355342124</v>
      </c>
      <c r="AX29" s="78">
        <f t="shared" si="9"/>
        <v>10548.307243553421</v>
      </c>
      <c r="AY29" s="78" t="str">
        <f>IF($AH29&gt;0,"車,","")&amp;IF($AF29&gt;0,"リフォーム,","")&amp;IF(子1!C29=18,"大学入学,","")&amp;IF(子2!C29=18,"大学入学,","")&amp;IF(子3!C29=18,"大学入学,","")&amp;IF(子4!C29=18,"大学入学,","")</f>
        <v/>
      </c>
    </row>
    <row r="30" spans="2:51" x14ac:dyDescent="0.25">
      <c r="B30" s="71">
        <f t="shared" si="2"/>
        <v>2046</v>
      </c>
      <c r="C30" s="72">
        <f t="shared" si="3"/>
        <v>48</v>
      </c>
      <c r="D30" s="73">
        <f>SUM(→:←!D30)</f>
        <v>767.26512789291291</v>
      </c>
      <c r="E30" s="72">
        <f>SUM(→:←!E30)</f>
        <v>588.79913799999997</v>
      </c>
      <c r="F30" s="72">
        <f>SUM(→:←!F30)</f>
        <v>0</v>
      </c>
      <c r="G30" s="72">
        <f>SUM(→:←!G30)</f>
        <v>0</v>
      </c>
      <c r="H30" s="72">
        <f>SUM(→:←!H30)</f>
        <v>0</v>
      </c>
      <c r="I30" s="74">
        <f>SUM(→:←!I30)</f>
        <v>0</v>
      </c>
      <c r="J30" s="75">
        <f>SUM(→:←!J30)</f>
        <v>588.79913799999997</v>
      </c>
      <c r="K30" s="71">
        <f>SUM(→:←!K30)</f>
        <v>118.55999355342125</v>
      </c>
      <c r="L30" s="72">
        <f>SUM(→:←!L30)</f>
        <v>41.808489999999992</v>
      </c>
      <c r="M30" s="72">
        <f>SUM(→:←!M30)</f>
        <v>106.92000000000003</v>
      </c>
      <c r="N30" s="72">
        <f>SUM(→:←!N30)</f>
        <v>39.6</v>
      </c>
      <c r="O30" s="72">
        <f>SUM(→:←!O30)</f>
        <v>13.200000000000001</v>
      </c>
      <c r="P30" s="72">
        <f>SUM(→:←!P30)</f>
        <v>10.560000000000002</v>
      </c>
      <c r="Q30" s="72">
        <f>SUM(→:←!Q30)</f>
        <v>6.6000000000000005</v>
      </c>
      <c r="R30" s="72">
        <f>SUM(→:←!R30)</f>
        <v>12</v>
      </c>
      <c r="S30" s="74">
        <f>SUM(→:←!S30)</f>
        <v>0</v>
      </c>
      <c r="T30" s="76">
        <f>SUM(→:←!T30)</f>
        <v>349.24848355342124</v>
      </c>
      <c r="U30" s="75">
        <f>SUM(→:←!U30)</f>
        <v>239.55065444657873</v>
      </c>
      <c r="V30" s="71">
        <f>SUM(→:←!V30)</f>
        <v>6</v>
      </c>
      <c r="W30" s="72">
        <f>SUM(→:←!W30)</f>
        <v>9.6000000000000014</v>
      </c>
      <c r="X30" s="72">
        <f>SUM(→:←!X30)</f>
        <v>0</v>
      </c>
      <c r="Y30" s="72">
        <f>SUM(→:←!Y30)</f>
        <v>24</v>
      </c>
      <c r="Z30" s="72">
        <f>SUM(→:←!Z30)</f>
        <v>70.680000000000007</v>
      </c>
      <c r="AA30" s="72">
        <f>SUM(→:←!AA30)</f>
        <v>0</v>
      </c>
      <c r="AB30" s="74">
        <f>SUM(→:←!AB30)</f>
        <v>0</v>
      </c>
      <c r="AC30" s="76">
        <f>SUM(→:←!AC30)</f>
        <v>110.28</v>
      </c>
      <c r="AD30" s="75">
        <f>SUM(→:←!AD30)</f>
        <v>129.27065444657876</v>
      </c>
      <c r="AE30" s="5">
        <f>SUM(→:←!AE30)</f>
        <v>54</v>
      </c>
      <c r="AF30" s="3">
        <f>SUM(→:←!AF30)</f>
        <v>0</v>
      </c>
      <c r="AG30" s="3">
        <f>SUM(→:←!AG30)</f>
        <v>0</v>
      </c>
      <c r="AH30" s="3">
        <f>SUM(→:←!AH30)</f>
        <v>300</v>
      </c>
      <c r="AI30" s="3">
        <f>SUM(→:←!AI30)</f>
        <v>0</v>
      </c>
      <c r="AJ30" s="14">
        <f>SUM(→:←!AJ30)</f>
        <v>21.5</v>
      </c>
      <c r="AK30" s="18">
        <f>SUM(→:←!AK30)</f>
        <v>375.5</v>
      </c>
      <c r="AL30" s="24">
        <f>SUM(→:←!AL30)</f>
        <v>-246.22934555342121</v>
      </c>
      <c r="AM30" s="75">
        <f>SUM(→:←!AM30)</f>
        <v>-238.52565975570087</v>
      </c>
      <c r="AN30" s="1">
        <f t="shared" si="4"/>
        <v>-166.96796182899035</v>
      </c>
      <c r="AO30" s="1">
        <f t="shared" si="8"/>
        <v>-120.78175905276481</v>
      </c>
      <c r="AP30" s="24">
        <f t="shared" si="0"/>
        <v>-287.74972088175514</v>
      </c>
      <c r="AQ30" s="24">
        <f t="shared" si="5"/>
        <v>-39.379248900843415</v>
      </c>
      <c r="AS30" s="1">
        <f>SUM(K30:$K$70)</f>
        <v>2489.7598646218471</v>
      </c>
      <c r="AT30" s="1">
        <f t="shared" si="6"/>
        <v>-2728.285524377548</v>
      </c>
      <c r="AV30" s="24">
        <f t="shared" si="7"/>
        <v>835.02848355342121</v>
      </c>
      <c r="AX30" s="78">
        <f t="shared" si="9"/>
        <v>1002.0341802641054</v>
      </c>
      <c r="AY30" s="78" t="str">
        <f>IF($AH30&gt;0,"車,","")&amp;IF($AF30&gt;0,"リフォーム,","")&amp;IF(子1!C30=18,"大学入学,","")&amp;IF(子2!C30=18,"大学入学,","")&amp;IF(子3!C30=18,"大学入学,","")&amp;IF(子4!C30=18,"大学入学,","")</f>
        <v>車,</v>
      </c>
    </row>
    <row r="31" spans="2:51" x14ac:dyDescent="0.25">
      <c r="B31" s="71">
        <f t="shared" si="2"/>
        <v>2047</v>
      </c>
      <c r="C31" s="72">
        <f t="shared" si="3"/>
        <v>49</v>
      </c>
      <c r="D31" s="73">
        <f>SUM(→:←!D31)</f>
        <v>779.92855496029347</v>
      </c>
      <c r="E31" s="72">
        <f>SUM(→:←!E31)</f>
        <v>597.19913799999995</v>
      </c>
      <c r="F31" s="72">
        <f>SUM(→:←!F31)</f>
        <v>0</v>
      </c>
      <c r="G31" s="72">
        <f>SUM(→:←!G31)</f>
        <v>0</v>
      </c>
      <c r="H31" s="72">
        <f>SUM(→:←!H31)</f>
        <v>0</v>
      </c>
      <c r="I31" s="74">
        <f>SUM(→:←!I31)</f>
        <v>0</v>
      </c>
      <c r="J31" s="75">
        <f>SUM(→:←!J31)</f>
        <v>597.19913799999995</v>
      </c>
      <c r="K31" s="71">
        <f>SUM(→:←!K31)</f>
        <v>118.55999355342125</v>
      </c>
      <c r="L31" s="72">
        <f>SUM(→:←!L31)</f>
        <v>41.545849999999994</v>
      </c>
      <c r="M31" s="72">
        <f>SUM(→:←!M31)</f>
        <v>106.92000000000003</v>
      </c>
      <c r="N31" s="72">
        <f>SUM(→:←!N31)</f>
        <v>39.6</v>
      </c>
      <c r="O31" s="72">
        <f>SUM(→:←!O31)</f>
        <v>13.200000000000001</v>
      </c>
      <c r="P31" s="72">
        <f>SUM(→:←!P31)</f>
        <v>10.560000000000002</v>
      </c>
      <c r="Q31" s="72">
        <f>SUM(→:←!Q31)</f>
        <v>6.6000000000000005</v>
      </c>
      <c r="R31" s="72">
        <f>SUM(→:←!R31)</f>
        <v>12</v>
      </c>
      <c r="S31" s="74">
        <f>SUM(→:←!S31)</f>
        <v>0</v>
      </c>
      <c r="T31" s="76">
        <f>SUM(→:←!T31)</f>
        <v>348.98584355342126</v>
      </c>
      <c r="U31" s="75">
        <f>SUM(→:←!U31)</f>
        <v>248.21329444657871</v>
      </c>
      <c r="V31" s="71">
        <f>SUM(→:←!V31)</f>
        <v>6</v>
      </c>
      <c r="W31" s="72">
        <f>SUM(→:←!W31)</f>
        <v>9.6000000000000014</v>
      </c>
      <c r="X31" s="72">
        <f>SUM(→:←!X31)</f>
        <v>0</v>
      </c>
      <c r="Y31" s="72">
        <f>SUM(→:←!Y31)</f>
        <v>0</v>
      </c>
      <c r="Z31" s="72">
        <f>SUM(→:←!Z31)</f>
        <v>146.80509999999998</v>
      </c>
      <c r="AA31" s="72">
        <f>SUM(→:←!AA31)</f>
        <v>72</v>
      </c>
      <c r="AB31" s="74">
        <f>SUM(→:←!AB31)</f>
        <v>0</v>
      </c>
      <c r="AC31" s="76">
        <f>SUM(→:←!AC31)</f>
        <v>234.4051</v>
      </c>
      <c r="AD31" s="75">
        <f>SUM(→:←!AD31)</f>
        <v>13.808194446578767</v>
      </c>
      <c r="AE31" s="5">
        <f>SUM(→:←!AE31)</f>
        <v>54</v>
      </c>
      <c r="AF31" s="3">
        <f>SUM(→:←!AF31)</f>
        <v>0</v>
      </c>
      <c r="AG31" s="3">
        <f>SUM(→:←!AG31)</f>
        <v>57</v>
      </c>
      <c r="AH31" s="3">
        <f>SUM(→:←!AH31)</f>
        <v>0</v>
      </c>
      <c r="AI31" s="3">
        <f>SUM(→:←!AI31)</f>
        <v>0</v>
      </c>
      <c r="AJ31" s="14">
        <f>SUM(→:←!AJ31)</f>
        <v>21.5</v>
      </c>
      <c r="AK31" s="18">
        <f>SUM(→:←!AK31)</f>
        <v>132.5</v>
      </c>
      <c r="AL31" s="24">
        <f>SUM(→:←!AL31)</f>
        <v>-118.69180555342123</v>
      </c>
      <c r="AM31" s="75">
        <f>SUM(→:←!AM31)</f>
        <v>-357.21746530912242</v>
      </c>
      <c r="AN31" s="1">
        <f t="shared" si="4"/>
        <v>-250.05222571638521</v>
      </c>
      <c r="AO31" s="1">
        <f t="shared" si="8"/>
        <v>-162.42838867142942</v>
      </c>
      <c r="AP31" s="24">
        <f t="shared" si="0"/>
        <v>-412.48061438781463</v>
      </c>
      <c r="AQ31" s="24">
        <f t="shared" si="5"/>
        <v>-44.210519262953767</v>
      </c>
      <c r="AS31" s="1">
        <f>SUM(K31:$K$70)</f>
        <v>2371.1998710684256</v>
      </c>
      <c r="AT31" s="1">
        <f t="shared" si="6"/>
        <v>-2728.4173363775481</v>
      </c>
      <c r="AV31" s="24">
        <f t="shared" si="7"/>
        <v>715.89094355342127</v>
      </c>
      <c r="AX31" s="78">
        <f t="shared" si="9"/>
        <v>859.06913226410552</v>
      </c>
      <c r="AY31" s="78" t="str">
        <f>IF($AH31&gt;0,"車,","")&amp;IF($AF31&gt;0,"リフォーム,","")&amp;IF(子1!C31=18,"大学入学,","")&amp;IF(子2!C31=18,"大学入学,","")&amp;IF(子3!C31=18,"大学入学,","")&amp;IF(子4!C31=18,"大学入学,","")</f>
        <v>大学入学,</v>
      </c>
    </row>
    <row r="32" spans="2:51" x14ac:dyDescent="0.25">
      <c r="B32" s="71">
        <f t="shared" si="2"/>
        <v>2048</v>
      </c>
      <c r="C32" s="72">
        <f t="shared" si="3"/>
        <v>50</v>
      </c>
      <c r="D32" s="73">
        <f>SUM(→:←!D32)</f>
        <v>792.80098720627711</v>
      </c>
      <c r="E32" s="72">
        <f>SUM(→:←!E32)</f>
        <v>605.59913800000004</v>
      </c>
      <c r="F32" s="72">
        <f>SUM(→:←!F32)</f>
        <v>0</v>
      </c>
      <c r="G32" s="72">
        <f>SUM(→:←!G32)</f>
        <v>0</v>
      </c>
      <c r="H32" s="72">
        <f>SUM(→:←!H32)</f>
        <v>0</v>
      </c>
      <c r="I32" s="74">
        <f>SUM(→:←!I32)</f>
        <v>0</v>
      </c>
      <c r="J32" s="75">
        <f>SUM(→:←!J32)</f>
        <v>605.59913800000004</v>
      </c>
      <c r="K32" s="71">
        <f>SUM(→:←!K32)</f>
        <v>118.55999355342125</v>
      </c>
      <c r="L32" s="72">
        <f>SUM(→:←!L32)</f>
        <v>41.283209999999997</v>
      </c>
      <c r="M32" s="72">
        <f>SUM(→:←!M32)</f>
        <v>89.100000000000023</v>
      </c>
      <c r="N32" s="72">
        <f>SUM(→:←!N32)</f>
        <v>33</v>
      </c>
      <c r="O32" s="72">
        <f>SUM(→:←!O32)</f>
        <v>11.55</v>
      </c>
      <c r="P32" s="72">
        <f>SUM(→:←!P32)</f>
        <v>9.240000000000002</v>
      </c>
      <c r="Q32" s="72">
        <f>SUM(→:←!Q32)</f>
        <v>5.7750000000000004</v>
      </c>
      <c r="R32" s="72">
        <f>SUM(→:←!R32)</f>
        <v>12</v>
      </c>
      <c r="S32" s="74">
        <f>SUM(→:←!S32)</f>
        <v>0</v>
      </c>
      <c r="T32" s="76">
        <f>SUM(→:←!T32)</f>
        <v>320.50820355342125</v>
      </c>
      <c r="U32" s="75">
        <f>SUM(→:←!U32)</f>
        <v>285.09093444657873</v>
      </c>
      <c r="V32" s="71">
        <f>SUM(→:←!V32)</f>
        <v>6</v>
      </c>
      <c r="W32" s="72">
        <f>SUM(→:←!W32)</f>
        <v>7.2000000000000011</v>
      </c>
      <c r="X32" s="72">
        <f>SUM(→:←!X32)</f>
        <v>0</v>
      </c>
      <c r="Y32" s="72">
        <f>SUM(→:←!Y32)</f>
        <v>0</v>
      </c>
      <c r="Z32" s="72">
        <f>SUM(→:←!Z32)</f>
        <v>53.58</v>
      </c>
      <c r="AA32" s="72">
        <f>SUM(→:←!AA32)</f>
        <v>72</v>
      </c>
      <c r="AB32" s="74">
        <f>SUM(→:←!AB32)</f>
        <v>0</v>
      </c>
      <c r="AC32" s="76">
        <f>SUM(→:←!AC32)</f>
        <v>138.78</v>
      </c>
      <c r="AD32" s="75">
        <f>SUM(→:←!AD32)</f>
        <v>146.31093444657876</v>
      </c>
      <c r="AE32" s="5">
        <f>SUM(→:←!AE32)</f>
        <v>48</v>
      </c>
      <c r="AF32" s="3">
        <f>SUM(→:←!AF32)</f>
        <v>0</v>
      </c>
      <c r="AG32" s="3">
        <f>SUM(→:←!AG32)</f>
        <v>0</v>
      </c>
      <c r="AH32" s="3">
        <f>SUM(→:←!AH32)</f>
        <v>0</v>
      </c>
      <c r="AI32" s="3">
        <f>SUM(→:←!AI32)</f>
        <v>0</v>
      </c>
      <c r="AJ32" s="14">
        <f>SUM(→:←!AJ32)</f>
        <v>21.5</v>
      </c>
      <c r="AK32" s="18">
        <f>SUM(→:←!AK32)</f>
        <v>69.5</v>
      </c>
      <c r="AL32" s="24">
        <f>SUM(→:←!AL32)</f>
        <v>76.810934446578756</v>
      </c>
      <c r="AM32" s="75">
        <f>SUM(→:←!AM32)</f>
        <v>-280.4065308625427</v>
      </c>
      <c r="AN32" s="1">
        <f t="shared" si="4"/>
        <v>-196.28457160378008</v>
      </c>
      <c r="AO32" s="1">
        <f t="shared" si="8"/>
        <v>-147.50652777102727</v>
      </c>
      <c r="AP32" s="24">
        <f t="shared" si="0"/>
        <v>-343.79109937480735</v>
      </c>
      <c r="AQ32" s="24">
        <f t="shared" si="5"/>
        <v>-50.707654809811721</v>
      </c>
      <c r="AS32" s="1">
        <f>SUM(K32:$K$70)</f>
        <v>2252.6398775150042</v>
      </c>
      <c r="AT32" s="1">
        <f t="shared" si="6"/>
        <v>-2533.0464083775469</v>
      </c>
      <c r="AV32" s="24">
        <f t="shared" si="7"/>
        <v>528.78820355342123</v>
      </c>
      <c r="AX32" s="78">
        <f t="shared" si="9"/>
        <v>10528.78820355342</v>
      </c>
      <c r="AY32" s="78" t="str">
        <f>IF($AH32&gt;0,"車,","")&amp;IF($AF32&gt;0,"リフォーム,","")&amp;IF(子1!C32=18,"大学入学,","")&amp;IF(子2!C32=18,"大学入学,","")&amp;IF(子3!C32=18,"大学入学,","")&amp;IF(子4!C32=18,"大学入学,","")</f>
        <v/>
      </c>
    </row>
    <row r="33" spans="2:51" x14ac:dyDescent="0.25">
      <c r="B33" s="71">
        <f t="shared" si="2"/>
        <v>2049</v>
      </c>
      <c r="C33" s="72">
        <f t="shared" si="3"/>
        <v>51</v>
      </c>
      <c r="D33" s="73">
        <f>SUM(→:←!D33)</f>
        <v>793.11382706359063</v>
      </c>
      <c r="E33" s="72">
        <f>SUM(→:←!E33)</f>
        <v>612.85922600000004</v>
      </c>
      <c r="F33" s="72">
        <f>SUM(→:←!F33)</f>
        <v>0</v>
      </c>
      <c r="G33" s="72">
        <f>SUM(→:←!G33)</f>
        <v>0</v>
      </c>
      <c r="H33" s="72">
        <f>SUM(→:←!H33)</f>
        <v>0</v>
      </c>
      <c r="I33" s="74">
        <f>SUM(→:←!I33)</f>
        <v>0</v>
      </c>
      <c r="J33" s="75">
        <f>SUM(→:←!J33)</f>
        <v>612.85922600000004</v>
      </c>
      <c r="K33" s="71">
        <f>SUM(→:←!K33)</f>
        <v>118.55999355342125</v>
      </c>
      <c r="L33" s="72">
        <f>SUM(→:←!L33)</f>
        <v>40.889249999999997</v>
      </c>
      <c r="M33" s="72">
        <f>SUM(→:←!M33)</f>
        <v>71.280000000000015</v>
      </c>
      <c r="N33" s="72">
        <f>SUM(→:←!N33)</f>
        <v>26.400000000000002</v>
      </c>
      <c r="O33" s="72">
        <f>SUM(→:←!O33)</f>
        <v>9.9</v>
      </c>
      <c r="P33" s="72">
        <f>SUM(→:←!P33)</f>
        <v>7.9200000000000017</v>
      </c>
      <c r="Q33" s="72">
        <f>SUM(→:←!Q33)</f>
        <v>4.95</v>
      </c>
      <c r="R33" s="72">
        <f>SUM(→:←!R33)</f>
        <v>12</v>
      </c>
      <c r="S33" s="74">
        <f>SUM(→:←!S33)</f>
        <v>0</v>
      </c>
      <c r="T33" s="76">
        <f>SUM(→:←!T33)</f>
        <v>291.89924355342123</v>
      </c>
      <c r="U33" s="75">
        <f>SUM(→:←!U33)</f>
        <v>320.95998244657869</v>
      </c>
      <c r="V33" s="71">
        <f>SUM(→:←!V33)</f>
        <v>6</v>
      </c>
      <c r="W33" s="72">
        <f>SUM(→:←!W33)</f>
        <v>4.8000000000000007</v>
      </c>
      <c r="X33" s="72">
        <f>SUM(→:←!X33)</f>
        <v>0</v>
      </c>
      <c r="Y33" s="72">
        <f>SUM(→:←!Y33)</f>
        <v>0</v>
      </c>
      <c r="Z33" s="72">
        <f>SUM(→:←!Z33)</f>
        <v>53.58</v>
      </c>
      <c r="AA33" s="72">
        <f>SUM(→:←!AA33)</f>
        <v>72</v>
      </c>
      <c r="AB33" s="74">
        <f>SUM(→:←!AB33)</f>
        <v>0</v>
      </c>
      <c r="AC33" s="76">
        <f>SUM(→:←!AC33)</f>
        <v>136.38</v>
      </c>
      <c r="AD33" s="75">
        <f>SUM(→:←!AD33)</f>
        <v>184.57998244657875</v>
      </c>
      <c r="AE33" s="5">
        <f>SUM(→:←!AE33)</f>
        <v>48</v>
      </c>
      <c r="AF33" s="3">
        <f>SUM(→:←!AF33)</f>
        <v>0</v>
      </c>
      <c r="AG33" s="3">
        <f>SUM(→:←!AG33)</f>
        <v>0</v>
      </c>
      <c r="AH33" s="3">
        <f>SUM(→:←!AH33)</f>
        <v>0</v>
      </c>
      <c r="AI33" s="3">
        <f>SUM(→:←!AI33)</f>
        <v>0</v>
      </c>
      <c r="AJ33" s="14">
        <f>SUM(→:←!AJ33)</f>
        <v>21.5</v>
      </c>
      <c r="AK33" s="18">
        <f>SUM(→:←!AK33)</f>
        <v>69.5</v>
      </c>
      <c r="AL33" s="24">
        <f>SUM(→:←!AL33)</f>
        <v>115.07998244657875</v>
      </c>
      <c r="AM33" s="75">
        <f>SUM(→:←!AM33)</f>
        <v>-165.32654841596423</v>
      </c>
      <c r="AN33" s="1">
        <f t="shared" si="4"/>
        <v>-115.72858389117496</v>
      </c>
      <c r="AO33" s="1">
        <f t="shared" si="8"/>
        <v>-120.35785942560501</v>
      </c>
      <c r="AP33" s="24">
        <f t="shared" si="0"/>
        <v>-236.08644331677999</v>
      </c>
      <c r="AQ33" s="24">
        <f t="shared" si="5"/>
        <v>-56.607915920652616</v>
      </c>
      <c r="AS33" s="1">
        <f>SUM(K33:$K$70)</f>
        <v>2134.0798839615827</v>
      </c>
      <c r="AT33" s="1">
        <f t="shared" si="6"/>
        <v>-2299.4064323775469</v>
      </c>
      <c r="AV33" s="24">
        <f t="shared" si="7"/>
        <v>497.77924355342122</v>
      </c>
      <c r="AX33" s="78">
        <f t="shared" si="9"/>
        <v>10497.779243553421</v>
      </c>
      <c r="AY33" s="78" t="str">
        <f>IF($AH33&gt;0,"車,","")&amp;IF($AF33&gt;0,"リフォーム,","")&amp;IF(子1!C33=18,"大学入学,","")&amp;IF(子2!C33=18,"大学入学,","")&amp;IF(子3!C33=18,"大学入学,","")&amp;IF(子4!C33=18,"大学入学,","")</f>
        <v/>
      </c>
    </row>
    <row r="34" spans="2:51" x14ac:dyDescent="0.25">
      <c r="B34" s="71">
        <f t="shared" si="2"/>
        <v>2050</v>
      </c>
      <c r="C34" s="72">
        <f t="shared" si="3"/>
        <v>52</v>
      </c>
      <c r="D34" s="73">
        <f>SUM(→:←!D34)</f>
        <v>793.47458172466577</v>
      </c>
      <c r="E34" s="72">
        <f>SUM(→:←!E34)</f>
        <v>604.45922599999994</v>
      </c>
      <c r="F34" s="72">
        <f>SUM(→:←!F34)</f>
        <v>0</v>
      </c>
      <c r="G34" s="72">
        <f>SUM(→:←!G34)</f>
        <v>0</v>
      </c>
      <c r="H34" s="72">
        <f>SUM(→:←!H34)</f>
        <v>0</v>
      </c>
      <c r="I34" s="74">
        <f>SUM(→:←!I34)</f>
        <v>0</v>
      </c>
      <c r="J34" s="75">
        <f>SUM(→:←!J34)</f>
        <v>604.45922599999994</v>
      </c>
      <c r="K34" s="71">
        <f>SUM(→:←!K34)</f>
        <v>118.55999355342125</v>
      </c>
      <c r="L34" s="72">
        <f>SUM(→:←!L34)</f>
        <v>40.626609999999999</v>
      </c>
      <c r="M34" s="72">
        <f>SUM(→:←!M34)</f>
        <v>71.280000000000015</v>
      </c>
      <c r="N34" s="72">
        <f>SUM(→:←!N34)</f>
        <v>26.400000000000002</v>
      </c>
      <c r="O34" s="72">
        <f>SUM(→:←!O34)</f>
        <v>9.9</v>
      </c>
      <c r="P34" s="72">
        <f>SUM(→:←!P34)</f>
        <v>7.9200000000000017</v>
      </c>
      <c r="Q34" s="72">
        <f>SUM(→:←!Q34)</f>
        <v>4.95</v>
      </c>
      <c r="R34" s="72">
        <f>SUM(→:←!R34)</f>
        <v>12</v>
      </c>
      <c r="S34" s="74">
        <f>SUM(→:←!S34)</f>
        <v>0</v>
      </c>
      <c r="T34" s="76">
        <f>SUM(→:←!T34)</f>
        <v>291.63660355342131</v>
      </c>
      <c r="U34" s="75">
        <f>SUM(→:←!U34)</f>
        <v>312.82262244657869</v>
      </c>
      <c r="V34" s="71">
        <f>SUM(→:←!V34)</f>
        <v>6</v>
      </c>
      <c r="W34" s="72">
        <f>SUM(→:←!W34)</f>
        <v>4.8000000000000007</v>
      </c>
      <c r="X34" s="72">
        <f>SUM(→:←!X34)</f>
        <v>0</v>
      </c>
      <c r="Y34" s="72">
        <f>SUM(→:←!Y34)</f>
        <v>0</v>
      </c>
      <c r="Z34" s="72">
        <f>SUM(→:←!Z34)</f>
        <v>53.58</v>
      </c>
      <c r="AA34" s="72">
        <f>SUM(→:←!AA34)</f>
        <v>72</v>
      </c>
      <c r="AB34" s="74">
        <f>SUM(→:←!AB34)</f>
        <v>0</v>
      </c>
      <c r="AC34" s="76">
        <f>SUM(→:←!AC34)</f>
        <v>136.38</v>
      </c>
      <c r="AD34" s="75">
        <f>SUM(→:←!AD34)</f>
        <v>176.44262244657875</v>
      </c>
      <c r="AE34" s="5">
        <f>SUM(→:←!AE34)</f>
        <v>48</v>
      </c>
      <c r="AF34" s="3">
        <f>SUM(→:←!AF34)</f>
        <v>0</v>
      </c>
      <c r="AG34" s="3">
        <f>SUM(→:←!AG34)</f>
        <v>0</v>
      </c>
      <c r="AH34" s="3">
        <f>SUM(→:←!AH34)</f>
        <v>0</v>
      </c>
      <c r="AI34" s="3">
        <f>SUM(→:←!AI34)</f>
        <v>0</v>
      </c>
      <c r="AJ34" s="14">
        <f>SUM(→:←!AJ34)</f>
        <v>21.5</v>
      </c>
      <c r="AK34" s="18">
        <f>SUM(→:←!AK34)</f>
        <v>69.5</v>
      </c>
      <c r="AL34" s="24">
        <f>SUM(→:←!AL34)</f>
        <v>106.94262244657875</v>
      </c>
      <c r="AM34" s="75">
        <f>SUM(→:←!AM34)</f>
        <v>-58.383925969385473</v>
      </c>
      <c r="AN34" s="1">
        <f t="shared" si="4"/>
        <v>-40.868748178569845</v>
      </c>
      <c r="AO34" s="1">
        <f t="shared" si="8"/>
        <v>-94.292965662911655</v>
      </c>
      <c r="AP34" s="24">
        <f t="shared" si="0"/>
        <v>-135.16171384148151</v>
      </c>
      <c r="AQ34" s="24">
        <f t="shared" si="5"/>
        <v>-61.422230297676833</v>
      </c>
      <c r="AS34" s="1">
        <f>SUM(K34:$K$70)</f>
        <v>2015.5198904081612</v>
      </c>
      <c r="AT34" s="1">
        <f t="shared" si="6"/>
        <v>-2073.9038163775467</v>
      </c>
      <c r="AV34" s="24">
        <f t="shared" si="7"/>
        <v>497.51660355342131</v>
      </c>
      <c r="AX34" s="78">
        <f t="shared" si="9"/>
        <v>10497.516603553422</v>
      </c>
      <c r="AY34" s="78" t="str">
        <f>IF($AH34&gt;0,"車,","")&amp;IF($AF34&gt;0,"リフォーム,","")&amp;IF(子1!C34=18,"大学入学,","")&amp;IF(子2!C34=18,"大学入学,","")&amp;IF(子3!C34=18,"大学入学,","")&amp;IF(子4!C34=18,"大学入学,","")</f>
        <v/>
      </c>
    </row>
    <row r="35" spans="2:51" x14ac:dyDescent="0.25">
      <c r="B35" s="71">
        <f t="shared" si="2"/>
        <v>2051</v>
      </c>
      <c r="C35" s="72">
        <f t="shared" si="3"/>
        <v>53</v>
      </c>
      <c r="D35" s="73">
        <f>SUM(→:←!D35)</f>
        <v>790.81860759588039</v>
      </c>
      <c r="E35" s="72">
        <f>SUM(→:←!E35)</f>
        <v>604.45922599999994</v>
      </c>
      <c r="F35" s="72">
        <f>SUM(→:←!F35)</f>
        <v>0</v>
      </c>
      <c r="G35" s="72">
        <f>SUM(→:←!G35)</f>
        <v>0</v>
      </c>
      <c r="H35" s="72">
        <f>SUM(→:←!H35)</f>
        <v>0</v>
      </c>
      <c r="I35" s="74">
        <f>SUM(→:←!I35)</f>
        <v>0</v>
      </c>
      <c r="J35" s="75">
        <f>SUM(→:←!J35)</f>
        <v>604.45922599999994</v>
      </c>
      <c r="K35" s="71">
        <f>SUM(→:←!K35)</f>
        <v>118.55999355342125</v>
      </c>
      <c r="L35" s="72">
        <f>SUM(→:←!L35)</f>
        <v>40.232649999999992</v>
      </c>
      <c r="M35" s="72">
        <f>SUM(→:←!M35)</f>
        <v>71.280000000000015</v>
      </c>
      <c r="N35" s="72">
        <f>SUM(→:←!N35)</f>
        <v>26.400000000000002</v>
      </c>
      <c r="O35" s="72">
        <f>SUM(→:←!O35)</f>
        <v>9.9</v>
      </c>
      <c r="P35" s="72">
        <f>SUM(→:←!P35)</f>
        <v>7.9200000000000017</v>
      </c>
      <c r="Q35" s="72">
        <f>SUM(→:←!Q35)</f>
        <v>4.95</v>
      </c>
      <c r="R35" s="72">
        <f>SUM(→:←!R35)</f>
        <v>12</v>
      </c>
      <c r="S35" s="74">
        <f>SUM(→:←!S35)</f>
        <v>0</v>
      </c>
      <c r="T35" s="76">
        <f>SUM(→:←!T35)</f>
        <v>291.24264355342126</v>
      </c>
      <c r="U35" s="75">
        <f>SUM(→:←!U35)</f>
        <v>313.21658244657874</v>
      </c>
      <c r="V35" s="71">
        <f>SUM(→:←!V35)</f>
        <v>6</v>
      </c>
      <c r="W35" s="72">
        <f>SUM(→:←!W35)</f>
        <v>4.8000000000000007</v>
      </c>
      <c r="X35" s="72">
        <f>SUM(→:←!X35)</f>
        <v>0</v>
      </c>
      <c r="Y35" s="72">
        <f>SUM(→:←!Y35)</f>
        <v>0</v>
      </c>
      <c r="Z35" s="72">
        <f>SUM(→:←!Z35)</f>
        <v>93.225099999999998</v>
      </c>
      <c r="AA35" s="72">
        <f>SUM(→:←!AA35)</f>
        <v>72</v>
      </c>
      <c r="AB35" s="74">
        <f>SUM(→:←!AB35)</f>
        <v>0</v>
      </c>
      <c r="AC35" s="76">
        <f>SUM(→:←!AC35)</f>
        <v>176.02510000000001</v>
      </c>
      <c r="AD35" s="75">
        <f>SUM(→:←!AD35)</f>
        <v>137.19148244657876</v>
      </c>
      <c r="AE35" s="5">
        <f>SUM(→:←!AE35)</f>
        <v>48</v>
      </c>
      <c r="AF35" s="3">
        <f>SUM(→:←!AF35)</f>
        <v>316</v>
      </c>
      <c r="AG35" s="3">
        <f>SUM(→:←!AG35)</f>
        <v>0</v>
      </c>
      <c r="AH35" s="3">
        <f>SUM(→:←!AH35)</f>
        <v>0</v>
      </c>
      <c r="AI35" s="3">
        <f>SUM(→:←!AI35)</f>
        <v>0</v>
      </c>
      <c r="AJ35" s="14">
        <f>SUM(→:←!AJ35)</f>
        <v>21.5</v>
      </c>
      <c r="AK35" s="18">
        <f>SUM(→:←!AK35)</f>
        <v>385.5</v>
      </c>
      <c r="AL35" s="24">
        <f>SUM(→:←!AL35)</f>
        <v>-248.30851755342127</v>
      </c>
      <c r="AM35" s="75">
        <f>SUM(→:←!AM35)</f>
        <v>-306.69244352280657</v>
      </c>
      <c r="AN35" s="1">
        <f t="shared" si="4"/>
        <v>-214.68471046596471</v>
      </c>
      <c r="AO35" s="1">
        <f t="shared" si="8"/>
        <v>-173.50016921208362</v>
      </c>
      <c r="AP35" s="24">
        <f t="shared" si="0"/>
        <v>-388.18487967804833</v>
      </c>
      <c r="AQ35" s="24">
        <f t="shared" si="5"/>
        <v>-65.193948924193407</v>
      </c>
      <c r="AS35" s="1">
        <f>SUM(K35:$K$70)</f>
        <v>1896.95989685474</v>
      </c>
      <c r="AT35" s="1">
        <f t="shared" si="6"/>
        <v>-2203.6523403775464</v>
      </c>
      <c r="AV35" s="24">
        <f t="shared" si="7"/>
        <v>852.76774355342127</v>
      </c>
      <c r="AX35" s="78">
        <f t="shared" si="9"/>
        <v>1023.3212922641055</v>
      </c>
      <c r="AY35" s="78" t="str">
        <f>IF($AH35&gt;0,"車,","")&amp;IF($AF35&gt;0,"リフォーム,","")&amp;IF(子1!C35=18,"大学入学,","")&amp;IF(子2!C35=18,"大学入学,","")&amp;IF(子3!C35=18,"大学入学,","")&amp;IF(子4!C35=18,"大学入学,","")</f>
        <v>リフォーム,</v>
      </c>
    </row>
    <row r="36" spans="2:51" x14ac:dyDescent="0.25">
      <c r="B36" s="71">
        <f t="shared" si="2"/>
        <v>2052</v>
      </c>
      <c r="C36" s="72">
        <f t="shared" si="3"/>
        <v>54</v>
      </c>
      <c r="D36" s="73">
        <f>SUM(→:←!D36)</f>
        <v>788.17152373117563</v>
      </c>
      <c r="E36" s="72">
        <f>SUM(→:←!E36)</f>
        <v>604.45922599999994</v>
      </c>
      <c r="F36" s="72">
        <f>SUM(→:←!F36)</f>
        <v>0</v>
      </c>
      <c r="G36" s="72">
        <f>SUM(→:←!G36)</f>
        <v>0</v>
      </c>
      <c r="H36" s="72">
        <f>SUM(→:←!H36)</f>
        <v>0</v>
      </c>
      <c r="I36" s="74">
        <f>SUM(→:←!I36)</f>
        <v>0</v>
      </c>
      <c r="J36" s="75">
        <f>SUM(→:←!J36)</f>
        <v>604.45922599999994</v>
      </c>
      <c r="K36" s="71">
        <f>SUM(→:←!K36)</f>
        <v>118.55999355342125</v>
      </c>
      <c r="L36" s="72">
        <f>SUM(→:←!L36)</f>
        <v>39.970009999999995</v>
      </c>
      <c r="M36" s="72">
        <f>SUM(→:←!M36)</f>
        <v>71.280000000000015</v>
      </c>
      <c r="N36" s="72">
        <f>SUM(→:←!N36)</f>
        <v>26.400000000000002</v>
      </c>
      <c r="O36" s="72">
        <f>SUM(→:←!O36)</f>
        <v>9.9</v>
      </c>
      <c r="P36" s="72">
        <f>SUM(→:←!P36)</f>
        <v>7.9200000000000017</v>
      </c>
      <c r="Q36" s="72">
        <f>SUM(→:←!Q36)</f>
        <v>4.95</v>
      </c>
      <c r="R36" s="72">
        <f>SUM(→:←!R36)</f>
        <v>12</v>
      </c>
      <c r="S36" s="74">
        <f>SUM(→:←!S36)</f>
        <v>0</v>
      </c>
      <c r="T36" s="76">
        <f>SUM(→:←!T36)</f>
        <v>290.98000355342128</v>
      </c>
      <c r="U36" s="75">
        <f>SUM(→:←!U36)</f>
        <v>313.47922244657872</v>
      </c>
      <c r="V36" s="71">
        <f>SUM(→:←!V36)</f>
        <v>6</v>
      </c>
      <c r="W36" s="72">
        <f>SUM(→:←!W36)</f>
        <v>4.8000000000000007</v>
      </c>
      <c r="X36" s="72">
        <f>SUM(→:←!X36)</f>
        <v>0</v>
      </c>
      <c r="Y36" s="72">
        <f>SUM(→:←!Y36)</f>
        <v>0</v>
      </c>
      <c r="Z36" s="72">
        <f>SUM(→:←!Z36)</f>
        <v>53.58</v>
      </c>
      <c r="AA36" s="72">
        <f>SUM(→:←!AA36)</f>
        <v>72</v>
      </c>
      <c r="AB36" s="74">
        <f>SUM(→:←!AB36)</f>
        <v>0</v>
      </c>
      <c r="AC36" s="76">
        <f>SUM(→:←!AC36)</f>
        <v>136.38</v>
      </c>
      <c r="AD36" s="75">
        <f>SUM(→:←!AD36)</f>
        <v>177.09922244657878</v>
      </c>
      <c r="AE36" s="5">
        <f>SUM(→:←!AE36)</f>
        <v>48</v>
      </c>
      <c r="AF36" s="3">
        <f>SUM(→:←!AF36)</f>
        <v>0</v>
      </c>
      <c r="AG36" s="3">
        <f>SUM(→:←!AG36)</f>
        <v>3</v>
      </c>
      <c r="AH36" s="3">
        <f>SUM(→:←!AH36)</f>
        <v>0</v>
      </c>
      <c r="AI36" s="3">
        <f>SUM(→:←!AI36)</f>
        <v>0</v>
      </c>
      <c r="AJ36" s="14">
        <f>SUM(→:←!AJ36)</f>
        <v>21.5</v>
      </c>
      <c r="AK36" s="18">
        <f>SUM(→:←!AK36)</f>
        <v>72.5</v>
      </c>
      <c r="AL36" s="24">
        <f>SUM(→:←!AL36)</f>
        <v>104.59922244657878</v>
      </c>
      <c r="AM36" s="75">
        <f>SUM(→:←!AM36)</f>
        <v>-202.09322107622665</v>
      </c>
      <c r="AN36" s="1">
        <f t="shared" si="4"/>
        <v>-141.46525475335957</v>
      </c>
      <c r="AO36" s="1">
        <f t="shared" si="8"/>
        <v>-150.79541093871416</v>
      </c>
      <c r="AP36" s="24">
        <f t="shared" si="0"/>
        <v>-292.26066569207376</v>
      </c>
      <c r="AQ36" s="24">
        <f t="shared" si="5"/>
        <v>-72.133955692677688</v>
      </c>
      <c r="AS36" s="1">
        <f>SUM(K36:$K$70)</f>
        <v>1778.3999033013188</v>
      </c>
      <c r="AT36" s="1">
        <f t="shared" si="6"/>
        <v>-1980.4931243775454</v>
      </c>
      <c r="AV36" s="24">
        <f t="shared" si="7"/>
        <v>499.86000355342128</v>
      </c>
      <c r="AX36" s="78">
        <f t="shared" si="9"/>
        <v>10499.860003553422</v>
      </c>
      <c r="AY36" s="78" t="str">
        <f>IF($AH36&gt;0,"車,","")&amp;IF($AF36&gt;0,"リフォーム,","")&amp;IF(子1!C36=18,"大学入学,","")&amp;IF(子2!C36=18,"大学入学,","")&amp;IF(子3!C36=18,"大学入学,","")&amp;IF(子4!C36=18,"大学入学,","")</f>
        <v/>
      </c>
    </row>
    <row r="37" spans="2:51" x14ac:dyDescent="0.25">
      <c r="B37" s="71">
        <f t="shared" si="2"/>
        <v>2053</v>
      </c>
      <c r="C37" s="72">
        <f t="shared" si="3"/>
        <v>55</v>
      </c>
      <c r="D37" s="73">
        <f>SUM(→:←!D37)</f>
        <v>785.533300372432</v>
      </c>
      <c r="E37" s="72">
        <f>SUM(→:←!E37)</f>
        <v>604.45922599999994</v>
      </c>
      <c r="F37" s="72">
        <f>SUM(→:←!F37)</f>
        <v>0</v>
      </c>
      <c r="G37" s="72">
        <f>SUM(→:←!G37)</f>
        <v>0</v>
      </c>
      <c r="H37" s="72">
        <f>SUM(→:←!H37)</f>
        <v>0</v>
      </c>
      <c r="I37" s="74">
        <f>SUM(→:←!I37)</f>
        <v>0</v>
      </c>
      <c r="J37" s="75">
        <f>SUM(→:←!J37)</f>
        <v>604.45922599999994</v>
      </c>
      <c r="K37" s="71">
        <f>SUM(→:←!K37)</f>
        <v>118.55999355342125</v>
      </c>
      <c r="L37" s="72">
        <f>SUM(→:←!L37)</f>
        <v>39.707369999999997</v>
      </c>
      <c r="M37" s="72">
        <f>SUM(→:←!M37)</f>
        <v>71.280000000000015</v>
      </c>
      <c r="N37" s="72">
        <f>SUM(→:←!N37)</f>
        <v>26.400000000000002</v>
      </c>
      <c r="O37" s="72">
        <f>SUM(→:←!O37)</f>
        <v>9.9</v>
      </c>
      <c r="P37" s="72">
        <f>SUM(→:←!P37)</f>
        <v>7.9200000000000017</v>
      </c>
      <c r="Q37" s="72">
        <f>SUM(→:←!Q37)</f>
        <v>4.95</v>
      </c>
      <c r="R37" s="72">
        <f>SUM(→:←!R37)</f>
        <v>12</v>
      </c>
      <c r="S37" s="74">
        <f>SUM(→:←!S37)</f>
        <v>0</v>
      </c>
      <c r="T37" s="76">
        <f>SUM(→:←!T37)</f>
        <v>290.71736355342125</v>
      </c>
      <c r="U37" s="75">
        <f>SUM(→:←!U37)</f>
        <v>313.74186244657869</v>
      </c>
      <c r="V37" s="71">
        <f>SUM(→:←!V37)</f>
        <v>6</v>
      </c>
      <c r="W37" s="72">
        <f>SUM(→:←!W37)</f>
        <v>4.8000000000000007</v>
      </c>
      <c r="X37" s="72">
        <f>SUM(→:←!X37)</f>
        <v>0</v>
      </c>
      <c r="Y37" s="72">
        <f>SUM(→:←!Y37)</f>
        <v>0</v>
      </c>
      <c r="Z37" s="72">
        <f>SUM(→:←!Z37)</f>
        <v>0</v>
      </c>
      <c r="AA37" s="72">
        <f>SUM(→:←!AA37)</f>
        <v>0</v>
      </c>
      <c r="AB37" s="74">
        <f>SUM(→:←!AB37)</f>
        <v>0</v>
      </c>
      <c r="AC37" s="76">
        <f>SUM(→:←!AC37)</f>
        <v>10.8</v>
      </c>
      <c r="AD37" s="75">
        <f>SUM(→:←!AD37)</f>
        <v>302.94186244657874</v>
      </c>
      <c r="AE37" s="5">
        <f>SUM(→:←!AE37)</f>
        <v>48</v>
      </c>
      <c r="AF37" s="3">
        <f>SUM(→:←!AF37)</f>
        <v>0</v>
      </c>
      <c r="AG37" s="3">
        <f>SUM(→:←!AG37)</f>
        <v>0</v>
      </c>
      <c r="AH37" s="3">
        <f>SUM(→:←!AH37)</f>
        <v>300</v>
      </c>
      <c r="AI37" s="3">
        <f>SUM(→:←!AI37)</f>
        <v>0</v>
      </c>
      <c r="AJ37" s="14">
        <f>SUM(→:←!AJ37)</f>
        <v>21.5</v>
      </c>
      <c r="AK37" s="18">
        <f>SUM(→:←!AK37)</f>
        <v>369.5</v>
      </c>
      <c r="AL37" s="24">
        <f>SUM(→:←!AL37)</f>
        <v>-66.558137553421261</v>
      </c>
      <c r="AM37" s="75">
        <f>SUM(→:←!AM37)</f>
        <v>-268.65135862964507</v>
      </c>
      <c r="AN37" s="1">
        <f t="shared" si="4"/>
        <v>-188.05595104075445</v>
      </c>
      <c r="AO37" s="1">
        <f t="shared" si="8"/>
        <v>-178.30262275167627</v>
      </c>
      <c r="AP37" s="24">
        <f t="shared" ref="AP37:AP68" si="10">SUM(AN37:AO37)</f>
        <v>-366.35857379243072</v>
      </c>
      <c r="AQ37" s="24">
        <f t="shared" si="5"/>
        <v>-78.165772130228518</v>
      </c>
      <c r="AS37" s="1">
        <f>SUM(K37:$K$70)</f>
        <v>1659.8399097478975</v>
      </c>
      <c r="AT37" s="1">
        <f t="shared" si="6"/>
        <v>-1928.4912683775426</v>
      </c>
      <c r="AV37" s="24">
        <f t="shared" si="7"/>
        <v>671.01736355342132</v>
      </c>
      <c r="AX37" s="78">
        <f t="shared" si="9"/>
        <v>805.22083626410551</v>
      </c>
      <c r="AY37" s="78" t="str">
        <f>IF($AH37&gt;0,"車,","")&amp;IF($AF37&gt;0,"リフォーム,","")&amp;IF(子1!C37=18,"大学入学,","")&amp;IF(子2!C37=18,"大学入学,","")&amp;IF(子3!C37=18,"大学入学,","")&amp;IF(子4!C37=18,"大学入学,","")</f>
        <v>車,</v>
      </c>
    </row>
    <row r="38" spans="2:51" x14ac:dyDescent="0.25">
      <c r="B38" s="71">
        <f t="shared" si="2"/>
        <v>2054</v>
      </c>
      <c r="C38" s="72">
        <f t="shared" si="3"/>
        <v>56</v>
      </c>
      <c r="D38" s="73">
        <f>SUM(→:←!D38)</f>
        <v>740.0412149761529</v>
      </c>
      <c r="E38" s="72">
        <f>SUM(→:←!E38)</f>
        <v>571.211546</v>
      </c>
      <c r="F38" s="72">
        <f>SUM(→:←!F38)</f>
        <v>0</v>
      </c>
      <c r="G38" s="72">
        <f>SUM(→:←!G38)</f>
        <v>0</v>
      </c>
      <c r="H38" s="72">
        <f>SUM(→:←!H38)</f>
        <v>0</v>
      </c>
      <c r="I38" s="74">
        <f>SUM(→:←!I38)</f>
        <v>0</v>
      </c>
      <c r="J38" s="75">
        <f>SUM(→:←!J38)</f>
        <v>571.211546</v>
      </c>
      <c r="K38" s="71">
        <f>SUM(→:←!K38)</f>
        <v>118.55999355342125</v>
      </c>
      <c r="L38" s="72">
        <f>SUM(→:←!L38)</f>
        <v>39.444729999999993</v>
      </c>
      <c r="M38" s="72">
        <f>SUM(→:←!M38)</f>
        <v>71.280000000000015</v>
      </c>
      <c r="N38" s="72">
        <f>SUM(→:←!N38)</f>
        <v>26.400000000000002</v>
      </c>
      <c r="O38" s="72">
        <f>SUM(→:←!O38)</f>
        <v>9.9</v>
      </c>
      <c r="P38" s="72">
        <f>SUM(→:←!P38)</f>
        <v>7.9200000000000017</v>
      </c>
      <c r="Q38" s="72">
        <f>SUM(→:←!Q38)</f>
        <v>4.95</v>
      </c>
      <c r="R38" s="72">
        <f>SUM(→:←!R38)</f>
        <v>12</v>
      </c>
      <c r="S38" s="74">
        <f>SUM(→:←!S38)</f>
        <v>0</v>
      </c>
      <c r="T38" s="76">
        <f>SUM(→:←!T38)</f>
        <v>290.45472355342122</v>
      </c>
      <c r="U38" s="75">
        <f>SUM(→:←!U38)</f>
        <v>280.75682244657878</v>
      </c>
      <c r="V38" s="71">
        <f>SUM(→:←!V38)</f>
        <v>6</v>
      </c>
      <c r="W38" s="72">
        <f>SUM(→:←!W38)</f>
        <v>4.8000000000000007</v>
      </c>
      <c r="X38" s="72">
        <f>SUM(→:←!X38)</f>
        <v>0</v>
      </c>
      <c r="Y38" s="72">
        <f>SUM(→:←!Y38)</f>
        <v>0</v>
      </c>
      <c r="Z38" s="72">
        <f>SUM(→:←!Z38)</f>
        <v>0</v>
      </c>
      <c r="AA38" s="72">
        <f>SUM(→:←!AA38)</f>
        <v>0</v>
      </c>
      <c r="AB38" s="74">
        <f>SUM(→:←!AB38)</f>
        <v>0</v>
      </c>
      <c r="AC38" s="76">
        <f>SUM(→:←!AC38)</f>
        <v>10.8</v>
      </c>
      <c r="AD38" s="75">
        <f>SUM(→:←!AD38)</f>
        <v>269.95682244657883</v>
      </c>
      <c r="AE38" s="5">
        <f>SUM(→:←!AE38)</f>
        <v>48</v>
      </c>
      <c r="AF38" s="3">
        <f>SUM(→:←!AF38)</f>
        <v>0</v>
      </c>
      <c r="AG38" s="3">
        <f>SUM(→:←!AG38)</f>
        <v>0</v>
      </c>
      <c r="AH38" s="3">
        <f>SUM(→:←!AH38)</f>
        <v>0</v>
      </c>
      <c r="AI38" s="3">
        <f>SUM(→:←!AI38)</f>
        <v>0</v>
      </c>
      <c r="AJ38" s="14">
        <f>SUM(→:←!AJ38)</f>
        <v>21.5</v>
      </c>
      <c r="AK38" s="18">
        <f>SUM(→:←!AK38)</f>
        <v>69.5</v>
      </c>
      <c r="AL38" s="24">
        <f>SUM(→:←!AL38)</f>
        <v>200.45682244657883</v>
      </c>
      <c r="AM38" s="75">
        <f>SUM(→:←!AM38)</f>
        <v>-68.194536183067612</v>
      </c>
      <c r="AN38" s="1">
        <f t="shared" si="4"/>
        <v>-47.736175328149272</v>
      </c>
      <c r="AO38" s="1">
        <f t="shared" si="8"/>
        <v>-127.08070715528643</v>
      </c>
      <c r="AP38" s="24">
        <f t="shared" si="10"/>
        <v>-174.81688248343571</v>
      </c>
      <c r="AQ38" s="24">
        <f t="shared" si="5"/>
        <v>-85.29787704029448</v>
      </c>
      <c r="AS38" s="1">
        <f>SUM(K38:$K$70)</f>
        <v>1541.2799161944763</v>
      </c>
      <c r="AT38" s="1">
        <f t="shared" si="6"/>
        <v>-1609.4744523775439</v>
      </c>
      <c r="AV38" s="24">
        <f t="shared" si="7"/>
        <v>370.75472355342123</v>
      </c>
      <c r="AX38" s="78">
        <f t="shared" si="9"/>
        <v>10370.754723553422</v>
      </c>
      <c r="AY38" s="78" t="str">
        <f>IF($AH38&gt;0,"車,","")&amp;IF($AF38&gt;0,"リフォーム,","")&amp;IF(子1!C38=18,"大学入学,","")&amp;IF(子2!C38=18,"大学入学,","")&amp;IF(子3!C38=18,"大学入学,","")&amp;IF(子4!C38=18,"大学入学,","")</f>
        <v/>
      </c>
    </row>
    <row r="39" spans="2:51" x14ac:dyDescent="0.25">
      <c r="B39" s="71">
        <f t="shared" ref="B39:B70" si="11">B38+1</f>
        <v>2055</v>
      </c>
      <c r="C39" s="72">
        <f t="shared" ref="C39:C70" si="12">C38+1</f>
        <v>57</v>
      </c>
      <c r="D39" s="73">
        <f>SUM(→:←!D39)</f>
        <v>697.74877376190068</v>
      </c>
      <c r="E39" s="72">
        <f>SUM(→:←!E39)</f>
        <v>541.987706</v>
      </c>
      <c r="F39" s="72">
        <f>SUM(→:←!F39)</f>
        <v>0</v>
      </c>
      <c r="G39" s="72">
        <f>SUM(→:←!G39)</f>
        <v>0</v>
      </c>
      <c r="H39" s="72">
        <f>SUM(→:←!H39)</f>
        <v>0</v>
      </c>
      <c r="I39" s="74">
        <f>SUM(→:←!I39)</f>
        <v>0</v>
      </c>
      <c r="J39" s="75">
        <f>SUM(→:←!J39)</f>
        <v>541.987706</v>
      </c>
      <c r="K39" s="71">
        <f>SUM(→:←!K39)</f>
        <v>118.55999355342125</v>
      </c>
      <c r="L39" s="72">
        <f>SUM(→:←!L39)</f>
        <v>39.182089999999995</v>
      </c>
      <c r="M39" s="72">
        <f>SUM(→:←!M39)</f>
        <v>71.280000000000015</v>
      </c>
      <c r="N39" s="72">
        <f>SUM(→:←!N39)</f>
        <v>26.400000000000002</v>
      </c>
      <c r="O39" s="72">
        <f>SUM(→:←!O39)</f>
        <v>9.9</v>
      </c>
      <c r="P39" s="72">
        <f>SUM(→:←!P39)</f>
        <v>7.9200000000000017</v>
      </c>
      <c r="Q39" s="72">
        <f>SUM(→:←!Q39)</f>
        <v>4.95</v>
      </c>
      <c r="R39" s="72">
        <f>SUM(→:←!R39)</f>
        <v>12</v>
      </c>
      <c r="S39" s="74">
        <f>SUM(→:←!S39)</f>
        <v>0</v>
      </c>
      <c r="T39" s="76">
        <f>SUM(→:←!T39)</f>
        <v>290.1920835534213</v>
      </c>
      <c r="U39" s="75">
        <f>SUM(→:←!U39)</f>
        <v>251.79562244657876</v>
      </c>
      <c r="V39" s="71">
        <f>SUM(→:←!V39)</f>
        <v>6</v>
      </c>
      <c r="W39" s="72">
        <f>SUM(→:←!W39)</f>
        <v>4.8000000000000007</v>
      </c>
      <c r="X39" s="72">
        <f>SUM(→:←!X39)</f>
        <v>0</v>
      </c>
      <c r="Y39" s="72">
        <f>SUM(→:←!Y39)</f>
        <v>0</v>
      </c>
      <c r="Z39" s="72">
        <f>SUM(→:←!Z39)</f>
        <v>0</v>
      </c>
      <c r="AA39" s="72">
        <f>SUM(→:←!AA39)</f>
        <v>0</v>
      </c>
      <c r="AB39" s="74">
        <f>SUM(→:←!AB39)</f>
        <v>0</v>
      </c>
      <c r="AC39" s="76">
        <f>SUM(→:←!AC39)</f>
        <v>10.8</v>
      </c>
      <c r="AD39" s="75">
        <f>SUM(→:←!AD39)</f>
        <v>240.99562244657881</v>
      </c>
      <c r="AE39" s="5">
        <f>SUM(→:←!AE39)</f>
        <v>48</v>
      </c>
      <c r="AF39" s="3">
        <f>SUM(→:←!AF39)</f>
        <v>0</v>
      </c>
      <c r="AG39" s="3">
        <f>SUM(→:←!AG39)</f>
        <v>0</v>
      </c>
      <c r="AH39" s="3">
        <f>SUM(→:←!AH39)</f>
        <v>0</v>
      </c>
      <c r="AI39" s="3">
        <f>SUM(→:←!AI39)</f>
        <v>0</v>
      </c>
      <c r="AJ39" s="14">
        <f>SUM(→:←!AJ39)</f>
        <v>21.5</v>
      </c>
      <c r="AK39" s="18">
        <f>SUM(→:←!AK39)</f>
        <v>69.5</v>
      </c>
      <c r="AL39" s="24">
        <f>SUM(→:←!AL39)</f>
        <v>171.49562244657881</v>
      </c>
      <c r="AM39" s="75">
        <f>SUM(→:←!AM39)</f>
        <v>103.30108626351102</v>
      </c>
      <c r="AN39" s="1">
        <f t="shared" si="4"/>
        <v>72.310760384455889</v>
      </c>
      <c r="AO39" s="1">
        <f t="shared" si="8"/>
        <v>-81.986055779077134</v>
      </c>
      <c r="AP39" s="24">
        <f t="shared" si="10"/>
        <v>-9.6752953946212443</v>
      </c>
      <c r="AQ39" s="24">
        <f t="shared" si="5"/>
        <v>-90.381105326505818</v>
      </c>
      <c r="AS39" s="1">
        <f>SUM(K39:$K$70)</f>
        <v>1422.7199226410551</v>
      </c>
      <c r="AT39" s="1">
        <f t="shared" si="6"/>
        <v>-1319.418836377544</v>
      </c>
      <c r="AV39" s="24">
        <f t="shared" si="7"/>
        <v>370.49208355342131</v>
      </c>
      <c r="AX39" s="78">
        <f t="shared" si="9"/>
        <v>10370.492083553421</v>
      </c>
      <c r="AY39" s="78" t="str">
        <f>IF($AH39&gt;0,"車,","")&amp;IF($AF39&gt;0,"リフォーム,","")&amp;IF(子1!C39=18,"大学入学,","")&amp;IF(子2!C39=18,"大学入学,","")&amp;IF(子3!C39=18,"大学入学,","")&amp;IF(子4!C39=18,"大学入学,","")</f>
        <v/>
      </c>
    </row>
    <row r="40" spans="2:51" x14ac:dyDescent="0.25">
      <c r="B40" s="71">
        <f t="shared" si="11"/>
        <v>2056</v>
      </c>
      <c r="C40" s="72">
        <f t="shared" si="12"/>
        <v>58</v>
      </c>
      <c r="D40" s="73">
        <f>SUM(→:←!D40)</f>
        <v>648.14156428099523</v>
      </c>
      <c r="E40" s="72">
        <f>SUM(→:←!E40)</f>
        <v>505.50377800000001</v>
      </c>
      <c r="F40" s="72">
        <f>SUM(→:←!F40)</f>
        <v>0</v>
      </c>
      <c r="G40" s="72">
        <f>SUM(→:←!G40)</f>
        <v>0</v>
      </c>
      <c r="H40" s="72">
        <f>SUM(→:←!H40)</f>
        <v>0</v>
      </c>
      <c r="I40" s="74">
        <f>SUM(→:←!I40)</f>
        <v>0</v>
      </c>
      <c r="J40" s="75">
        <f>SUM(→:←!J40)</f>
        <v>505.50377800000001</v>
      </c>
      <c r="K40" s="71">
        <f>SUM(→:←!K40)</f>
        <v>118.55999355342125</v>
      </c>
      <c r="L40" s="72">
        <f>SUM(→:←!L40)</f>
        <v>38.919449999999998</v>
      </c>
      <c r="M40" s="72">
        <f>SUM(→:←!M40)</f>
        <v>71.280000000000015</v>
      </c>
      <c r="N40" s="72">
        <f>SUM(→:←!N40)</f>
        <v>26.400000000000002</v>
      </c>
      <c r="O40" s="72">
        <f>SUM(→:←!O40)</f>
        <v>9.9</v>
      </c>
      <c r="P40" s="72">
        <f>SUM(→:←!P40)</f>
        <v>7.9200000000000017</v>
      </c>
      <c r="Q40" s="72">
        <f>SUM(→:←!Q40)</f>
        <v>4.95</v>
      </c>
      <c r="R40" s="72">
        <f>SUM(→:←!R40)</f>
        <v>12</v>
      </c>
      <c r="S40" s="74">
        <f>SUM(→:←!S40)</f>
        <v>0</v>
      </c>
      <c r="T40" s="76">
        <f>SUM(→:←!T40)</f>
        <v>289.92944355342127</v>
      </c>
      <c r="U40" s="75">
        <f>SUM(→:←!U40)</f>
        <v>215.57433444657877</v>
      </c>
      <c r="V40" s="71">
        <f>SUM(→:←!V40)</f>
        <v>6</v>
      </c>
      <c r="W40" s="72">
        <f>SUM(→:←!W40)</f>
        <v>4.8000000000000007</v>
      </c>
      <c r="X40" s="72">
        <f>SUM(→:←!X40)</f>
        <v>0</v>
      </c>
      <c r="Y40" s="72">
        <f>SUM(→:←!Y40)</f>
        <v>0</v>
      </c>
      <c r="Z40" s="72">
        <f>SUM(→:←!Z40)</f>
        <v>0</v>
      </c>
      <c r="AA40" s="72">
        <f>SUM(→:←!AA40)</f>
        <v>0</v>
      </c>
      <c r="AB40" s="74">
        <f>SUM(→:←!AB40)</f>
        <v>0</v>
      </c>
      <c r="AC40" s="76">
        <f>SUM(→:←!AC40)</f>
        <v>10.8</v>
      </c>
      <c r="AD40" s="75">
        <f>SUM(→:←!AD40)</f>
        <v>204.77433444657882</v>
      </c>
      <c r="AE40" s="5">
        <f>SUM(→:←!AE40)</f>
        <v>48</v>
      </c>
      <c r="AF40" s="3">
        <f>SUM(→:←!AF40)</f>
        <v>0</v>
      </c>
      <c r="AG40" s="3">
        <f>SUM(→:←!AG40)</f>
        <v>0</v>
      </c>
      <c r="AH40" s="3">
        <f>SUM(→:←!AH40)</f>
        <v>0</v>
      </c>
      <c r="AI40" s="3">
        <f>SUM(→:←!AI40)</f>
        <v>0</v>
      </c>
      <c r="AJ40" s="14">
        <f>SUM(→:←!AJ40)</f>
        <v>21.5</v>
      </c>
      <c r="AK40" s="18">
        <f>SUM(→:←!AK40)</f>
        <v>69.5</v>
      </c>
      <c r="AL40" s="24">
        <f>SUM(→:←!AL40)</f>
        <v>135.27433444657882</v>
      </c>
      <c r="AM40" s="75">
        <f>SUM(→:←!AM40)</f>
        <v>238.57542071008811</v>
      </c>
      <c r="AN40" s="1">
        <f t="shared" si="4"/>
        <v>167.00279449706107</v>
      </c>
      <c r="AO40" s="1">
        <f t="shared" si="8"/>
        <v>-45.503058234057356</v>
      </c>
      <c r="AP40" s="24">
        <f t="shared" si="10"/>
        <v>121.49973626300371</v>
      </c>
      <c r="AQ40" s="24">
        <f t="shared" si="5"/>
        <v>-93.660547557667527</v>
      </c>
      <c r="AS40" s="1">
        <f>SUM(K40:$K$70)</f>
        <v>1304.1599290876338</v>
      </c>
      <c r="AT40" s="1">
        <f t="shared" si="6"/>
        <v>-1065.5845083775457</v>
      </c>
      <c r="AV40" s="24">
        <f t="shared" si="7"/>
        <v>370.22944355342128</v>
      </c>
      <c r="AX40" s="78">
        <f t="shared" si="9"/>
        <v>10370.22944355342</v>
      </c>
      <c r="AY40" s="78" t="str">
        <f>IF($AH40&gt;0,"車,","")&amp;IF($AF40&gt;0,"リフォーム,","")&amp;IF(子1!C40=18,"大学入学,","")&amp;IF(子2!C40=18,"大学入学,","")&amp;IF(子3!C40=18,"大学入学,","")&amp;IF(子4!C40=18,"大学入学,","")</f>
        <v/>
      </c>
    </row>
    <row r="41" spans="2:51" x14ac:dyDescent="0.25">
      <c r="B41" s="71">
        <f t="shared" si="11"/>
        <v>2057</v>
      </c>
      <c r="C41" s="72">
        <f t="shared" si="12"/>
        <v>59</v>
      </c>
      <c r="D41" s="73">
        <f>SUM(→:←!D41)</f>
        <v>602.06123342033391</v>
      </c>
      <c r="E41" s="72">
        <f>SUM(→:←!E41)</f>
        <v>477.41985</v>
      </c>
      <c r="F41" s="72">
        <f>SUM(→:←!F41)</f>
        <v>0</v>
      </c>
      <c r="G41" s="72">
        <f>SUM(→:←!G41)</f>
        <v>0</v>
      </c>
      <c r="H41" s="72">
        <f>SUM(→:←!H41)</f>
        <v>0</v>
      </c>
      <c r="I41" s="74">
        <f>SUM(→:←!I41)</f>
        <v>0</v>
      </c>
      <c r="J41" s="75">
        <f>SUM(→:←!J41)</f>
        <v>477.41985</v>
      </c>
      <c r="K41" s="71">
        <f>SUM(→:←!K41)</f>
        <v>118.55999355342125</v>
      </c>
      <c r="L41" s="72">
        <f>SUM(→:←!L41)</f>
        <v>38.656809999999993</v>
      </c>
      <c r="M41" s="72">
        <f>SUM(→:←!M41)</f>
        <v>71.280000000000015</v>
      </c>
      <c r="N41" s="72">
        <f>SUM(→:←!N41)</f>
        <v>26.400000000000002</v>
      </c>
      <c r="O41" s="72">
        <f>SUM(→:←!O41)</f>
        <v>9.9</v>
      </c>
      <c r="P41" s="72">
        <f>SUM(→:←!P41)</f>
        <v>7.9200000000000017</v>
      </c>
      <c r="Q41" s="72">
        <f>SUM(→:←!Q41)</f>
        <v>4.95</v>
      </c>
      <c r="R41" s="72">
        <f>SUM(→:←!R41)</f>
        <v>12</v>
      </c>
      <c r="S41" s="74">
        <f>SUM(→:←!S41)</f>
        <v>0</v>
      </c>
      <c r="T41" s="76">
        <f>SUM(→:←!T41)</f>
        <v>289.66680355342123</v>
      </c>
      <c r="U41" s="75">
        <f>SUM(→:←!U41)</f>
        <v>187.75304644657876</v>
      </c>
      <c r="V41" s="71">
        <f>SUM(→:←!V41)</f>
        <v>6</v>
      </c>
      <c r="W41" s="72">
        <f>SUM(→:←!W41)</f>
        <v>4.8000000000000007</v>
      </c>
      <c r="X41" s="72">
        <f>SUM(→:←!X41)</f>
        <v>0</v>
      </c>
      <c r="Y41" s="72">
        <f>SUM(→:←!Y41)</f>
        <v>0</v>
      </c>
      <c r="Z41" s="72">
        <f>SUM(→:←!Z41)</f>
        <v>0</v>
      </c>
      <c r="AA41" s="72">
        <f>SUM(→:←!AA41)</f>
        <v>0</v>
      </c>
      <c r="AB41" s="74">
        <f>SUM(→:←!AB41)</f>
        <v>0</v>
      </c>
      <c r="AC41" s="76">
        <f>SUM(→:←!AC41)</f>
        <v>10.8</v>
      </c>
      <c r="AD41" s="75">
        <f>SUM(→:←!AD41)</f>
        <v>176.95304644657881</v>
      </c>
      <c r="AE41" s="5">
        <f>SUM(→:←!AE41)</f>
        <v>48</v>
      </c>
      <c r="AF41" s="3">
        <f>SUM(→:←!AF41)</f>
        <v>0</v>
      </c>
      <c r="AG41" s="3">
        <f>SUM(→:←!AG41)</f>
        <v>57</v>
      </c>
      <c r="AH41" s="3">
        <f>SUM(→:←!AH41)</f>
        <v>0</v>
      </c>
      <c r="AI41" s="3">
        <f>SUM(→:←!AI41)</f>
        <v>0</v>
      </c>
      <c r="AJ41" s="14">
        <f>SUM(→:←!AJ41)</f>
        <v>21.5</v>
      </c>
      <c r="AK41" s="18">
        <f>SUM(→:←!AK41)</f>
        <v>126.5</v>
      </c>
      <c r="AL41" s="24">
        <f>SUM(→:←!AL41)</f>
        <v>50.45304644657881</v>
      </c>
      <c r="AM41" s="75">
        <f>SUM(→:←!AM41)</f>
        <v>289.02846715666874</v>
      </c>
      <c r="AN41" s="1">
        <f t="shared" si="4"/>
        <v>202.31992700966623</v>
      </c>
      <c r="AO41" s="1">
        <f t="shared" si="8"/>
        <v>-32.642297211786584</v>
      </c>
      <c r="AP41" s="24">
        <f t="shared" si="10"/>
        <v>169.67762979787966</v>
      </c>
      <c r="AQ41" s="24">
        <f t="shared" si="5"/>
        <v>-95.480669887031269</v>
      </c>
      <c r="AS41" s="1">
        <f>SUM(K41:$K$70)</f>
        <v>1185.5999355342126</v>
      </c>
      <c r="AT41" s="1">
        <f t="shared" si="6"/>
        <v>-896.57146837754385</v>
      </c>
      <c r="AV41" s="24">
        <f t="shared" si="7"/>
        <v>426.96680355342124</v>
      </c>
      <c r="AX41" s="78">
        <f t="shared" si="9"/>
        <v>10426.966803553421</v>
      </c>
      <c r="AY41" s="78" t="str">
        <f>IF($AH41&gt;0,"車,","")&amp;IF($AF41&gt;0,"リフォーム,","")&amp;IF(子1!C41=18,"大学入学,","")&amp;IF(子2!C41=18,"大学入学,","")&amp;IF(子3!C41=18,"大学入学,","")&amp;IF(子4!C41=18,"大学入学,","")</f>
        <v/>
      </c>
    </row>
    <row r="42" spans="2:51" x14ac:dyDescent="0.25">
      <c r="B42" s="71">
        <f t="shared" si="11"/>
        <v>2058</v>
      </c>
      <c r="C42" s="72">
        <f t="shared" si="12"/>
        <v>60</v>
      </c>
      <c r="D42" s="73">
        <f>SUM(→:←!D42)</f>
        <v>559.25703390079957</v>
      </c>
      <c r="E42" s="72">
        <f>SUM(→:←!E42)</f>
        <v>439.03463999999997</v>
      </c>
      <c r="F42" s="72">
        <f>SUM(→:←!F42)</f>
        <v>0</v>
      </c>
      <c r="G42" s="72">
        <f>SUM(→:←!G42)</f>
        <v>0</v>
      </c>
      <c r="H42" s="72">
        <f>SUM(→:←!H42)</f>
        <v>0</v>
      </c>
      <c r="I42" s="74">
        <f>SUM(→:←!I42)</f>
        <v>0</v>
      </c>
      <c r="J42" s="75">
        <f>SUM(→:←!J42)</f>
        <v>439.03463999999997</v>
      </c>
      <c r="K42" s="71">
        <f>SUM(→:←!K42)</f>
        <v>118.55999355342125</v>
      </c>
      <c r="L42" s="72">
        <f>SUM(→:←!L42)</f>
        <v>38.394169999999995</v>
      </c>
      <c r="M42" s="72">
        <f>SUM(→:←!M42)</f>
        <v>71.280000000000015</v>
      </c>
      <c r="N42" s="72">
        <f>SUM(→:←!N42)</f>
        <v>26.400000000000002</v>
      </c>
      <c r="O42" s="72">
        <f>SUM(→:←!O42)</f>
        <v>9.9</v>
      </c>
      <c r="P42" s="72">
        <f>SUM(→:←!P42)</f>
        <v>7.9200000000000017</v>
      </c>
      <c r="Q42" s="72">
        <f>SUM(→:←!Q42)</f>
        <v>4.95</v>
      </c>
      <c r="R42" s="72">
        <f>SUM(→:←!R42)</f>
        <v>12</v>
      </c>
      <c r="S42" s="74">
        <f>SUM(→:←!S42)</f>
        <v>0</v>
      </c>
      <c r="T42" s="76">
        <f>SUM(→:←!T42)</f>
        <v>289.40416355342126</v>
      </c>
      <c r="U42" s="75">
        <f>SUM(→:←!U42)</f>
        <v>149.63047644657874</v>
      </c>
      <c r="V42" s="71">
        <f>SUM(→:←!V42)</f>
        <v>6</v>
      </c>
      <c r="W42" s="72">
        <f>SUM(→:←!W42)</f>
        <v>4.8000000000000007</v>
      </c>
      <c r="X42" s="72">
        <f>SUM(→:←!X42)</f>
        <v>0</v>
      </c>
      <c r="Y42" s="72">
        <f>SUM(→:←!Y42)</f>
        <v>0</v>
      </c>
      <c r="Z42" s="72">
        <f>SUM(→:←!Z42)</f>
        <v>0</v>
      </c>
      <c r="AA42" s="72">
        <f>SUM(→:←!AA42)</f>
        <v>0</v>
      </c>
      <c r="AB42" s="74">
        <f>SUM(→:←!AB42)</f>
        <v>0</v>
      </c>
      <c r="AC42" s="76">
        <f>SUM(→:←!AC42)</f>
        <v>10.8</v>
      </c>
      <c r="AD42" s="75">
        <f>SUM(→:←!AD42)</f>
        <v>138.83047644657873</v>
      </c>
      <c r="AE42" s="5">
        <f>SUM(→:←!AE42)</f>
        <v>48</v>
      </c>
      <c r="AF42" s="3">
        <f>SUM(→:←!AF42)</f>
        <v>0</v>
      </c>
      <c r="AG42" s="3">
        <f>SUM(→:←!AG42)</f>
        <v>0</v>
      </c>
      <c r="AH42" s="3">
        <f>SUM(→:←!AH42)</f>
        <v>0</v>
      </c>
      <c r="AI42" s="3">
        <f>SUM(→:←!AI42)</f>
        <v>0</v>
      </c>
      <c r="AJ42" s="14">
        <f>SUM(→:←!AJ42)</f>
        <v>21.5</v>
      </c>
      <c r="AK42" s="18">
        <f>SUM(→:←!AK42)</f>
        <v>69.5</v>
      </c>
      <c r="AL42" s="24">
        <f>SUM(→:←!AL42)</f>
        <v>69.330476446578757</v>
      </c>
      <c r="AM42" s="75">
        <f>SUM(→:←!AM42)</f>
        <v>358.35894360324528</v>
      </c>
      <c r="AN42" s="1">
        <f t="shared" si="4"/>
        <v>250.85126052227136</v>
      </c>
      <c r="AO42" s="1">
        <f t="shared" si="8"/>
        <v>-13.47526913840229</v>
      </c>
      <c r="AP42" s="24">
        <f t="shared" si="10"/>
        <v>237.37599138386906</v>
      </c>
      <c r="AQ42" s="24">
        <f t="shared" si="5"/>
        <v>-96.786361775500978</v>
      </c>
      <c r="AS42" s="1">
        <f>SUM(K42:$K$70)</f>
        <v>1067.0399419807914</v>
      </c>
      <c r="AT42" s="1">
        <f t="shared" si="6"/>
        <v>-708.68099837754608</v>
      </c>
      <c r="AV42" s="24">
        <f t="shared" si="7"/>
        <v>369.70416355342127</v>
      </c>
      <c r="AX42" s="78">
        <f t="shared" si="9"/>
        <v>10369.704163553421</v>
      </c>
      <c r="AY42" s="78" t="str">
        <f>IF($AH42&gt;0,"車,","")&amp;IF($AF42&gt;0,"リフォーム,","")&amp;IF(子1!C42=18,"大学入学,","")&amp;IF(子2!C42=18,"大学入学,","")&amp;IF(子3!C42=18,"大学入学,","")&amp;IF(子4!C42=18,"大学入学,","")</f>
        <v/>
      </c>
    </row>
    <row r="43" spans="2:51" x14ac:dyDescent="0.25">
      <c r="B43" s="71">
        <f t="shared" si="11"/>
        <v>2059</v>
      </c>
      <c r="C43" s="72">
        <f t="shared" si="12"/>
        <v>61</v>
      </c>
      <c r="D43" s="73">
        <f>SUM(→:←!D43)</f>
        <v>550.60442542488272</v>
      </c>
      <c r="E43" s="72">
        <f>SUM(→:←!E43)</f>
        <v>430.85803999999996</v>
      </c>
      <c r="F43" s="72">
        <f>SUM(→:←!F43)</f>
        <v>0</v>
      </c>
      <c r="G43" s="72">
        <f>SUM(→:←!G43)</f>
        <v>0</v>
      </c>
      <c r="H43" s="72">
        <f>SUM(→:←!H43)</f>
        <v>0</v>
      </c>
      <c r="I43" s="74">
        <f>SUM(→:←!I43)</f>
        <v>0</v>
      </c>
      <c r="J43" s="75">
        <f>SUM(→:←!J43)</f>
        <v>430.85803999999996</v>
      </c>
      <c r="K43" s="71">
        <f>SUM(→:←!K43)</f>
        <v>118.55999355342125</v>
      </c>
      <c r="L43" s="72">
        <f>SUM(→:←!L43)</f>
        <v>38.131529999999998</v>
      </c>
      <c r="M43" s="72">
        <f>SUM(→:←!M43)</f>
        <v>71.280000000000015</v>
      </c>
      <c r="N43" s="72">
        <f>SUM(→:←!N43)</f>
        <v>26.400000000000002</v>
      </c>
      <c r="O43" s="72">
        <f>SUM(→:←!O43)</f>
        <v>9.9</v>
      </c>
      <c r="P43" s="72">
        <f>SUM(→:←!P43)</f>
        <v>7.9200000000000017</v>
      </c>
      <c r="Q43" s="72">
        <f>SUM(→:←!Q43)</f>
        <v>4.95</v>
      </c>
      <c r="R43" s="72">
        <f>SUM(→:←!R43)</f>
        <v>12</v>
      </c>
      <c r="S43" s="74">
        <f>SUM(→:←!S43)</f>
        <v>0</v>
      </c>
      <c r="T43" s="76">
        <f>SUM(→:←!T43)</f>
        <v>289.14152355342128</v>
      </c>
      <c r="U43" s="75">
        <f>SUM(→:←!U43)</f>
        <v>141.71651644657879</v>
      </c>
      <c r="V43" s="71">
        <f>SUM(→:←!V43)</f>
        <v>6</v>
      </c>
      <c r="W43" s="72">
        <f>SUM(→:←!W43)</f>
        <v>4.8000000000000007</v>
      </c>
      <c r="X43" s="72">
        <f>SUM(→:←!X43)</f>
        <v>0</v>
      </c>
      <c r="Y43" s="72">
        <f>SUM(→:←!Y43)</f>
        <v>0</v>
      </c>
      <c r="Z43" s="72">
        <f>SUM(→:←!Z43)</f>
        <v>0</v>
      </c>
      <c r="AA43" s="72">
        <f>SUM(→:←!AA43)</f>
        <v>0</v>
      </c>
      <c r="AB43" s="74">
        <f>SUM(→:←!AB43)</f>
        <v>0</v>
      </c>
      <c r="AC43" s="76">
        <f>SUM(→:←!AC43)</f>
        <v>10.8</v>
      </c>
      <c r="AD43" s="75">
        <f>SUM(→:←!AD43)</f>
        <v>130.91651644657878</v>
      </c>
      <c r="AE43" s="5">
        <f>SUM(→:←!AE43)</f>
        <v>48</v>
      </c>
      <c r="AF43" s="3">
        <f>SUM(→:←!AF43)</f>
        <v>0</v>
      </c>
      <c r="AG43" s="3">
        <f>SUM(→:←!AG43)</f>
        <v>0</v>
      </c>
      <c r="AH43" s="3">
        <f>SUM(→:←!AH43)</f>
        <v>0</v>
      </c>
      <c r="AI43" s="3">
        <f>SUM(→:←!AI43)</f>
        <v>0</v>
      </c>
      <c r="AJ43" s="14">
        <f>SUM(→:←!AJ43)</f>
        <v>21.5</v>
      </c>
      <c r="AK43" s="18">
        <f>SUM(→:←!AK43)</f>
        <v>69.5</v>
      </c>
      <c r="AL43" s="24">
        <f>SUM(→:←!AL43)</f>
        <v>61.416516446578754</v>
      </c>
      <c r="AM43" s="75">
        <f>SUM(→:←!AM43)</f>
        <v>419.77546004982287</v>
      </c>
      <c r="AN43" s="1">
        <f t="shared" si="4"/>
        <v>293.84282203487646</v>
      </c>
      <c r="AO43" s="1">
        <f t="shared" si="8"/>
        <v>4.2759223386512222</v>
      </c>
      <c r="AP43" s="24">
        <f t="shared" si="10"/>
        <v>298.1187443735277</v>
      </c>
      <c r="AQ43" s="24">
        <f t="shared" si="5"/>
        <v>-97.325372541036131</v>
      </c>
      <c r="AS43" s="1">
        <f>SUM(K43:$K$70)</f>
        <v>948.47994842737</v>
      </c>
      <c r="AT43" s="1">
        <f t="shared" si="6"/>
        <v>-528.70448837754714</v>
      </c>
      <c r="AV43" s="24">
        <f t="shared" si="7"/>
        <v>369.44152355342129</v>
      </c>
      <c r="AX43" s="78">
        <f t="shared" si="9"/>
        <v>10369.441523553422</v>
      </c>
      <c r="AY43" s="78" t="str">
        <f>IF($AH43&gt;0,"車,","")&amp;IF($AF43&gt;0,"リフォーム,","")&amp;IF(子1!C43=18,"大学入学,","")&amp;IF(子2!C43=18,"大学入学,","")&amp;IF(子3!C43=18,"大学入学,","")&amp;IF(子4!C43=18,"大学入学,","")</f>
        <v/>
      </c>
    </row>
    <row r="44" spans="2:51" x14ac:dyDescent="0.25">
      <c r="B44" s="71">
        <f t="shared" si="11"/>
        <v>2060</v>
      </c>
      <c r="C44" s="72">
        <f t="shared" si="12"/>
        <v>62</v>
      </c>
      <c r="D44" s="73">
        <f>SUM(→:←!D44)</f>
        <v>542.56698357821961</v>
      </c>
      <c r="E44" s="72">
        <f>SUM(→:←!E44)</f>
        <v>420.85803999999996</v>
      </c>
      <c r="F44" s="72">
        <f>SUM(→:←!F44)</f>
        <v>0</v>
      </c>
      <c r="G44" s="72">
        <f>SUM(→:←!G44)</f>
        <v>0</v>
      </c>
      <c r="H44" s="72">
        <f>SUM(→:←!H44)</f>
        <v>0</v>
      </c>
      <c r="I44" s="74">
        <f>SUM(→:←!I44)</f>
        <v>0</v>
      </c>
      <c r="J44" s="75">
        <f>SUM(→:←!J44)</f>
        <v>420.85803999999996</v>
      </c>
      <c r="K44" s="71">
        <f>SUM(→:←!K44)</f>
        <v>118.55999355342125</v>
      </c>
      <c r="L44" s="72">
        <f>SUM(→:←!L44)</f>
        <v>37.868889999999993</v>
      </c>
      <c r="M44" s="72">
        <f>SUM(→:←!M44)</f>
        <v>71.280000000000015</v>
      </c>
      <c r="N44" s="72">
        <f>SUM(→:←!N44)</f>
        <v>26.400000000000002</v>
      </c>
      <c r="O44" s="72">
        <f>SUM(→:←!O44)</f>
        <v>9.9</v>
      </c>
      <c r="P44" s="72">
        <f>SUM(→:←!P44)</f>
        <v>7.9200000000000017</v>
      </c>
      <c r="Q44" s="72">
        <f>SUM(→:←!Q44)</f>
        <v>4.95</v>
      </c>
      <c r="R44" s="72">
        <f>SUM(→:←!R44)</f>
        <v>12</v>
      </c>
      <c r="S44" s="74">
        <f>SUM(→:←!S44)</f>
        <v>0</v>
      </c>
      <c r="T44" s="76">
        <f>SUM(→:←!T44)</f>
        <v>288.87888355342125</v>
      </c>
      <c r="U44" s="75">
        <f>SUM(→:←!U44)</f>
        <v>131.97915644657877</v>
      </c>
      <c r="V44" s="71">
        <f>SUM(→:←!V44)</f>
        <v>6</v>
      </c>
      <c r="W44" s="72">
        <f>SUM(→:←!W44)</f>
        <v>4.8000000000000007</v>
      </c>
      <c r="X44" s="72">
        <f>SUM(→:←!X44)</f>
        <v>0</v>
      </c>
      <c r="Y44" s="72">
        <f>SUM(→:←!Y44)</f>
        <v>0</v>
      </c>
      <c r="Z44" s="72">
        <f>SUM(→:←!Z44)</f>
        <v>0</v>
      </c>
      <c r="AA44" s="72">
        <f>SUM(→:←!AA44)</f>
        <v>0</v>
      </c>
      <c r="AB44" s="74">
        <f>SUM(→:←!AB44)</f>
        <v>0</v>
      </c>
      <c r="AC44" s="76">
        <f>SUM(→:←!AC44)</f>
        <v>10.8</v>
      </c>
      <c r="AD44" s="75">
        <f>SUM(→:←!AD44)</f>
        <v>121.17915644657876</v>
      </c>
      <c r="AE44" s="5">
        <f>SUM(→:←!AE44)</f>
        <v>48</v>
      </c>
      <c r="AF44" s="3">
        <f>SUM(→:←!AF44)</f>
        <v>0</v>
      </c>
      <c r="AG44" s="3">
        <f>SUM(→:←!AG44)</f>
        <v>0</v>
      </c>
      <c r="AH44" s="3">
        <f>SUM(→:←!AH44)</f>
        <v>300</v>
      </c>
      <c r="AI44" s="3">
        <f>SUM(→:←!AI44)</f>
        <v>0</v>
      </c>
      <c r="AJ44" s="14">
        <f>SUM(→:←!AJ44)</f>
        <v>21.5</v>
      </c>
      <c r="AK44" s="18">
        <f>SUM(→:←!AK44)</f>
        <v>369.5</v>
      </c>
      <c r="AL44" s="24">
        <f>SUM(→:←!AL44)</f>
        <v>-248.32084355342127</v>
      </c>
      <c r="AM44" s="75">
        <f>SUM(→:←!AM44)</f>
        <v>171.45461649640038</v>
      </c>
      <c r="AN44" s="1">
        <f t="shared" si="4"/>
        <v>120.01823154748158</v>
      </c>
      <c r="AO44" s="1">
        <f t="shared" si="8"/>
        <v>-70.0065346104426</v>
      </c>
      <c r="AP44" s="24">
        <f t="shared" si="10"/>
        <v>50.011696937038977</v>
      </c>
      <c r="AQ44" s="24">
        <f t="shared" si="5"/>
        <v>-97.15433564748912</v>
      </c>
      <c r="AS44" s="1">
        <f>SUM(K44:$K$70)</f>
        <v>829.91995487394877</v>
      </c>
      <c r="AT44" s="1">
        <f t="shared" si="6"/>
        <v>-658.46533837754839</v>
      </c>
      <c r="AV44" s="24">
        <f t="shared" si="7"/>
        <v>669.1788835534212</v>
      </c>
      <c r="AX44" s="78">
        <f t="shared" si="9"/>
        <v>803.01466026410537</v>
      </c>
      <c r="AY44" s="78" t="str">
        <f>IF($AH44&gt;0,"車,","")&amp;IF($AF44&gt;0,"リフォーム,","")&amp;IF(子1!C44=18,"大学入学,","")&amp;IF(子2!C44=18,"大学入学,","")&amp;IF(子3!C44=18,"大学入学,","")&amp;IF(子4!C44=18,"大学入学,","")</f>
        <v>車,</v>
      </c>
    </row>
    <row r="45" spans="2:51" x14ac:dyDescent="0.25">
      <c r="B45" s="71">
        <f t="shared" si="11"/>
        <v>2061</v>
      </c>
      <c r="C45" s="72">
        <f t="shared" si="12"/>
        <v>63</v>
      </c>
      <c r="D45" s="73">
        <f>SUM(→:←!D45)</f>
        <v>542.56698357821961</v>
      </c>
      <c r="E45" s="72">
        <f>SUM(→:←!E45)</f>
        <v>420.85803999999996</v>
      </c>
      <c r="F45" s="72">
        <f>SUM(→:←!F45)</f>
        <v>0</v>
      </c>
      <c r="G45" s="72">
        <f>SUM(→:←!G45)</f>
        <v>0</v>
      </c>
      <c r="H45" s="72">
        <f>SUM(→:←!H45)</f>
        <v>0</v>
      </c>
      <c r="I45" s="74">
        <f>SUM(→:←!I45)</f>
        <v>0</v>
      </c>
      <c r="J45" s="75">
        <f>SUM(→:←!J45)</f>
        <v>420.85803999999996</v>
      </c>
      <c r="K45" s="71">
        <f>SUM(→:←!K45)</f>
        <v>118.55999355342125</v>
      </c>
      <c r="L45" s="72">
        <f>SUM(→:←!L45)</f>
        <v>37.737569999999998</v>
      </c>
      <c r="M45" s="72">
        <f>SUM(→:←!M45)</f>
        <v>71.280000000000015</v>
      </c>
      <c r="N45" s="72">
        <f>SUM(→:←!N45)</f>
        <v>26.400000000000002</v>
      </c>
      <c r="O45" s="72">
        <f>SUM(→:←!O45)</f>
        <v>9.9</v>
      </c>
      <c r="P45" s="72">
        <f>SUM(→:←!P45)</f>
        <v>7.9200000000000017</v>
      </c>
      <c r="Q45" s="72">
        <f>SUM(→:←!Q45)</f>
        <v>4.95</v>
      </c>
      <c r="R45" s="72">
        <f>SUM(→:←!R45)</f>
        <v>12</v>
      </c>
      <c r="S45" s="74">
        <f>SUM(→:←!S45)</f>
        <v>0</v>
      </c>
      <c r="T45" s="76">
        <f>SUM(→:←!T45)</f>
        <v>288.74756355342129</v>
      </c>
      <c r="U45" s="75">
        <f>SUM(→:←!U45)</f>
        <v>132.11047644657879</v>
      </c>
      <c r="V45" s="71">
        <f>SUM(→:←!V45)</f>
        <v>6</v>
      </c>
      <c r="W45" s="72">
        <f>SUM(→:←!W45)</f>
        <v>4.8000000000000007</v>
      </c>
      <c r="X45" s="72">
        <f>SUM(→:←!X45)</f>
        <v>0</v>
      </c>
      <c r="Y45" s="72">
        <f>SUM(→:←!Y45)</f>
        <v>0</v>
      </c>
      <c r="Z45" s="72">
        <f>SUM(→:←!Z45)</f>
        <v>0</v>
      </c>
      <c r="AA45" s="72">
        <f>SUM(→:←!AA45)</f>
        <v>0</v>
      </c>
      <c r="AB45" s="74">
        <f>SUM(→:←!AB45)</f>
        <v>0</v>
      </c>
      <c r="AC45" s="76">
        <f>SUM(→:←!AC45)</f>
        <v>10.8</v>
      </c>
      <c r="AD45" s="75">
        <f>SUM(→:←!AD45)</f>
        <v>121.31047644657878</v>
      </c>
      <c r="AE45" s="5">
        <f>SUM(→:←!AE45)</f>
        <v>48</v>
      </c>
      <c r="AF45" s="3">
        <f>SUM(→:←!AF45)</f>
        <v>238</v>
      </c>
      <c r="AG45" s="3">
        <f>SUM(→:←!AG45)</f>
        <v>0</v>
      </c>
      <c r="AH45" s="3">
        <f>SUM(→:←!AH45)</f>
        <v>0</v>
      </c>
      <c r="AI45" s="3">
        <f>SUM(→:←!AI45)</f>
        <v>0</v>
      </c>
      <c r="AJ45" s="14">
        <f>SUM(→:←!AJ45)</f>
        <v>21.5</v>
      </c>
      <c r="AK45" s="18">
        <f>SUM(→:←!AK45)</f>
        <v>307.5</v>
      </c>
      <c r="AL45" s="24">
        <f>SUM(→:←!AL45)</f>
        <v>-186.18952355342125</v>
      </c>
      <c r="AM45" s="75">
        <f>SUM(→:←!AM45)</f>
        <v>-14.734907057021701</v>
      </c>
      <c r="AN45" s="1">
        <f t="shared" si="4"/>
        <v>-10.314434939913298</v>
      </c>
      <c r="AO45" s="1">
        <f t="shared" si="8"/>
        <v>-129.3637184069911</v>
      </c>
      <c r="AP45" s="24">
        <f t="shared" si="10"/>
        <v>-139.67815334690439</v>
      </c>
      <c r="AQ45" s="24">
        <f t="shared" si="5"/>
        <v>-99.954597031906161</v>
      </c>
      <c r="AS45" s="1">
        <f>SUM(K45:$K$70)</f>
        <v>711.35996132052753</v>
      </c>
      <c r="AT45" s="1">
        <f t="shared" si="6"/>
        <v>-726.09486837754923</v>
      </c>
      <c r="AV45" s="24">
        <f t="shared" si="7"/>
        <v>607.04756355342124</v>
      </c>
      <c r="AX45" s="78">
        <f t="shared" si="9"/>
        <v>728.45707626410547</v>
      </c>
      <c r="AY45" s="78" t="str">
        <f>IF($AH45&gt;0,"車,","")&amp;IF($AF45&gt;0,"リフォーム,","")&amp;IF(子1!C45=18,"大学入学,","")&amp;IF(子2!C45=18,"大学入学,","")&amp;IF(子3!C45=18,"大学入学,","")&amp;IF(子4!C45=18,"大学入学,","")</f>
        <v>リフォーム,</v>
      </c>
    </row>
    <row r="46" spans="2:51" x14ac:dyDescent="0.25">
      <c r="B46" s="71">
        <f t="shared" si="11"/>
        <v>2062</v>
      </c>
      <c r="C46" s="72">
        <f t="shared" si="12"/>
        <v>64</v>
      </c>
      <c r="D46" s="73">
        <f>SUM(→:←!D46)</f>
        <v>542.56698357821961</v>
      </c>
      <c r="E46" s="72">
        <f>SUM(→:←!E46)</f>
        <v>420.85803999999996</v>
      </c>
      <c r="F46" s="72">
        <f>SUM(→:←!F46)</f>
        <v>0</v>
      </c>
      <c r="G46" s="72">
        <f>SUM(→:←!G46)</f>
        <v>0</v>
      </c>
      <c r="H46" s="72">
        <f>SUM(→:←!H46)</f>
        <v>0</v>
      </c>
      <c r="I46" s="74">
        <f>SUM(→:←!I46)</f>
        <v>0</v>
      </c>
      <c r="J46" s="75">
        <f>SUM(→:←!J46)</f>
        <v>420.85803999999996</v>
      </c>
      <c r="K46" s="71">
        <f>SUM(→:←!K46)</f>
        <v>118.55999355342125</v>
      </c>
      <c r="L46" s="72">
        <f>SUM(→:←!L46)</f>
        <v>37.474929999999993</v>
      </c>
      <c r="M46" s="72">
        <f>SUM(→:←!M46)</f>
        <v>71.280000000000015</v>
      </c>
      <c r="N46" s="72">
        <f>SUM(→:←!N46)</f>
        <v>26.400000000000002</v>
      </c>
      <c r="O46" s="72">
        <f>SUM(→:←!O46)</f>
        <v>9.9</v>
      </c>
      <c r="P46" s="72">
        <f>SUM(→:←!P46)</f>
        <v>7.9200000000000017</v>
      </c>
      <c r="Q46" s="72">
        <f>SUM(→:←!Q46)</f>
        <v>4.95</v>
      </c>
      <c r="R46" s="72">
        <f>SUM(→:←!R46)</f>
        <v>12</v>
      </c>
      <c r="S46" s="74">
        <f>SUM(→:←!S46)</f>
        <v>0</v>
      </c>
      <c r="T46" s="76">
        <f>SUM(→:←!T46)</f>
        <v>288.48492355342125</v>
      </c>
      <c r="U46" s="75">
        <f>SUM(→:←!U46)</f>
        <v>132.37311644657879</v>
      </c>
      <c r="V46" s="71">
        <f>SUM(→:←!V46)</f>
        <v>6</v>
      </c>
      <c r="W46" s="72">
        <f>SUM(→:←!W46)</f>
        <v>4.8000000000000007</v>
      </c>
      <c r="X46" s="72">
        <f>SUM(→:←!X46)</f>
        <v>0</v>
      </c>
      <c r="Y46" s="72">
        <f>SUM(→:←!Y46)</f>
        <v>0</v>
      </c>
      <c r="Z46" s="72">
        <f>SUM(→:←!Z46)</f>
        <v>0</v>
      </c>
      <c r="AA46" s="72">
        <f>SUM(→:←!AA46)</f>
        <v>0</v>
      </c>
      <c r="AB46" s="74">
        <f>SUM(→:←!AB46)</f>
        <v>0</v>
      </c>
      <c r="AC46" s="76">
        <f>SUM(→:←!AC46)</f>
        <v>10.8</v>
      </c>
      <c r="AD46" s="75">
        <f>SUM(→:←!AD46)</f>
        <v>121.57311644657878</v>
      </c>
      <c r="AE46" s="5">
        <f>SUM(→:←!AE46)</f>
        <v>48</v>
      </c>
      <c r="AF46" s="3">
        <f>SUM(→:←!AF46)</f>
        <v>0</v>
      </c>
      <c r="AG46" s="3">
        <f>SUM(→:←!AG46)</f>
        <v>3</v>
      </c>
      <c r="AH46" s="3">
        <f>SUM(→:←!AH46)</f>
        <v>0</v>
      </c>
      <c r="AI46" s="3">
        <f>SUM(→:←!AI46)</f>
        <v>0</v>
      </c>
      <c r="AJ46" s="14">
        <f>SUM(→:←!AJ46)</f>
        <v>21.5</v>
      </c>
      <c r="AK46" s="18">
        <f>SUM(→:←!AK46)</f>
        <v>72.5</v>
      </c>
      <c r="AL46" s="24">
        <f>SUM(→:←!AL46)</f>
        <v>49.073116446578751</v>
      </c>
      <c r="AM46" s="75">
        <f>SUM(→:←!AM46)</f>
        <v>34.338209389559779</v>
      </c>
      <c r="AN46" s="1">
        <f t="shared" si="4"/>
        <v>24.036746572691825</v>
      </c>
      <c r="AO46" s="1">
        <f t="shared" si="8"/>
        <v>-121.10996939336702</v>
      </c>
      <c r="AP46" s="24">
        <f t="shared" si="10"/>
        <v>-97.073222820675198</v>
      </c>
      <c r="AQ46" s="24">
        <f t="shared" si="5"/>
        <v>-105.12914576818798</v>
      </c>
      <c r="AS46" s="1">
        <f>SUM(K46:$K$70)</f>
        <v>592.7999677671063</v>
      </c>
      <c r="AT46" s="1">
        <f t="shared" si="6"/>
        <v>-558.46175837754652</v>
      </c>
      <c r="AV46" s="24">
        <f t="shared" si="7"/>
        <v>371.78492355342127</v>
      </c>
      <c r="AX46" s="78">
        <f t="shared" si="9"/>
        <v>10371.784923553421</v>
      </c>
      <c r="AY46" s="78" t="str">
        <f>IF($AH46&gt;0,"車,","")&amp;IF($AF46&gt;0,"リフォーム,","")&amp;IF(子1!C46=18,"大学入学,","")&amp;IF(子2!C46=18,"大学入学,","")&amp;IF(子3!C46=18,"大学入学,","")&amp;IF(子4!C46=18,"大学入学,","")</f>
        <v/>
      </c>
    </row>
    <row r="47" spans="2:51" x14ac:dyDescent="0.25">
      <c r="B47" s="71">
        <f t="shared" si="11"/>
        <v>2063</v>
      </c>
      <c r="C47" s="72">
        <f t="shared" si="12"/>
        <v>65</v>
      </c>
      <c r="D47" s="73">
        <f>SUM(→:←!D47)</f>
        <v>542.56698357821961</v>
      </c>
      <c r="E47" s="72">
        <f>SUM(→:←!E47)</f>
        <v>420.85803999999996</v>
      </c>
      <c r="F47" s="72">
        <f>SUM(→:←!F47)</f>
        <v>0</v>
      </c>
      <c r="G47" s="72">
        <f>SUM(→:←!G47)</f>
        <v>0</v>
      </c>
      <c r="H47" s="72">
        <f>SUM(→:←!H47)</f>
        <v>0</v>
      </c>
      <c r="I47" s="74">
        <f>SUM(→:←!I47)</f>
        <v>0</v>
      </c>
      <c r="J47" s="75">
        <f>SUM(→:←!J47)</f>
        <v>420.85803999999996</v>
      </c>
      <c r="K47" s="71">
        <f>SUM(→:←!K47)</f>
        <v>118.55999355342125</v>
      </c>
      <c r="L47" s="72">
        <f>SUM(→:←!L47)</f>
        <v>37.343609999999998</v>
      </c>
      <c r="M47" s="72">
        <f>SUM(→:←!M47)</f>
        <v>71.280000000000015</v>
      </c>
      <c r="N47" s="72">
        <f>SUM(→:←!N47)</f>
        <v>26.400000000000002</v>
      </c>
      <c r="O47" s="72">
        <f>SUM(→:←!O47)</f>
        <v>9.9</v>
      </c>
      <c r="P47" s="72">
        <f>SUM(→:←!P47)</f>
        <v>7.9200000000000017</v>
      </c>
      <c r="Q47" s="72">
        <f>SUM(→:←!Q47)</f>
        <v>4.95</v>
      </c>
      <c r="R47" s="72">
        <f>SUM(→:←!R47)</f>
        <v>12</v>
      </c>
      <c r="S47" s="74">
        <f>SUM(→:←!S47)</f>
        <v>0</v>
      </c>
      <c r="T47" s="76">
        <f>SUM(→:←!T47)</f>
        <v>288.35360355342129</v>
      </c>
      <c r="U47" s="75">
        <f>SUM(→:←!U47)</f>
        <v>132.50443644657878</v>
      </c>
      <c r="V47" s="71">
        <f>SUM(→:←!V47)</f>
        <v>6</v>
      </c>
      <c r="W47" s="72">
        <f>SUM(→:←!W47)</f>
        <v>4.8000000000000007</v>
      </c>
      <c r="X47" s="72">
        <f>SUM(→:←!X47)</f>
        <v>0</v>
      </c>
      <c r="Y47" s="72">
        <f>SUM(→:←!Y47)</f>
        <v>0</v>
      </c>
      <c r="Z47" s="72">
        <f>SUM(→:←!Z47)</f>
        <v>0</v>
      </c>
      <c r="AA47" s="72">
        <f>SUM(→:←!AA47)</f>
        <v>0</v>
      </c>
      <c r="AB47" s="74">
        <f>SUM(→:←!AB47)</f>
        <v>0</v>
      </c>
      <c r="AC47" s="76">
        <f>SUM(→:←!AC47)</f>
        <v>10.8</v>
      </c>
      <c r="AD47" s="75">
        <f>SUM(→:←!AD47)</f>
        <v>121.70443644657877</v>
      </c>
      <c r="AE47" s="5">
        <f>SUM(→:←!AE47)</f>
        <v>48</v>
      </c>
      <c r="AF47" s="3">
        <f>SUM(→:←!AF47)</f>
        <v>0</v>
      </c>
      <c r="AG47" s="3">
        <f>SUM(→:←!AG47)</f>
        <v>0</v>
      </c>
      <c r="AH47" s="3">
        <f>SUM(→:←!AH47)</f>
        <v>0</v>
      </c>
      <c r="AI47" s="3">
        <f>SUM(→:←!AI47)</f>
        <v>0</v>
      </c>
      <c r="AJ47" s="14">
        <f>SUM(→:←!AJ47)</f>
        <v>21.5</v>
      </c>
      <c r="AK47" s="18">
        <f>SUM(→:←!AK47)</f>
        <v>69.5</v>
      </c>
      <c r="AL47" s="24">
        <f>SUM(→:←!AL47)</f>
        <v>52.20443644657874</v>
      </c>
      <c r="AM47" s="75">
        <f>SUM(→:←!AM47)</f>
        <v>86.542645836138036</v>
      </c>
      <c r="AN47" s="1">
        <f t="shared" si="4"/>
        <v>60.579852085296942</v>
      </c>
      <c r="AO47" s="1">
        <f t="shared" si="8"/>
        <v>-111.50413692906176</v>
      </c>
      <c r="AP47" s="24">
        <f t="shared" si="10"/>
        <v>-50.924284843764816</v>
      </c>
      <c r="AQ47" s="24">
        <f t="shared" si="5"/>
        <v>-109.97354454392229</v>
      </c>
      <c r="AS47" s="1">
        <f>SUM(K47:$K$70)</f>
        <v>474.239974213685</v>
      </c>
      <c r="AT47" s="1">
        <f t="shared" si="6"/>
        <v>-387.69732837754697</v>
      </c>
      <c r="AV47" s="24">
        <f t="shared" si="7"/>
        <v>368.65360355342131</v>
      </c>
      <c r="AX47" s="78">
        <f t="shared" si="9"/>
        <v>10368.653603553421</v>
      </c>
      <c r="AY47" s="78" t="str">
        <f>IF($AH47&gt;0,"車,","")&amp;IF($AF47&gt;0,"リフォーム,","")&amp;IF(子1!C47=18,"大学入学,","")&amp;IF(子2!C47=18,"大学入学,","")&amp;IF(子3!C47=18,"大学入学,","")&amp;IF(子4!C47=18,"大学入学,","")</f>
        <v/>
      </c>
    </row>
    <row r="48" spans="2:51" x14ac:dyDescent="0.25">
      <c r="B48" s="71">
        <f t="shared" si="11"/>
        <v>2064</v>
      </c>
      <c r="C48" s="72">
        <f t="shared" si="12"/>
        <v>66</v>
      </c>
      <c r="D48" s="73">
        <f>SUM(→:←!D48)</f>
        <v>105.01296456352635</v>
      </c>
      <c r="E48" s="72">
        <f>SUM(→:←!E48)</f>
        <v>83.954080000000005</v>
      </c>
      <c r="F48" s="72">
        <f>SUM(→:←!F48)</f>
        <v>0</v>
      </c>
      <c r="G48" s="72">
        <f>SUM(→:←!G48)</f>
        <v>0</v>
      </c>
      <c r="H48" s="72">
        <f>SUM(→:←!H48)</f>
        <v>199.66338323076928</v>
      </c>
      <c r="I48" s="74">
        <f>SUM(→:←!I48)</f>
        <v>-15.353239327484623</v>
      </c>
      <c r="J48" s="75">
        <f>SUM(→:←!J48)</f>
        <v>268.26422390328469</v>
      </c>
      <c r="K48" s="71">
        <f>SUM(→:←!K48)</f>
        <v>118.55999355342125</v>
      </c>
      <c r="L48" s="72">
        <f>SUM(→:←!L48)</f>
        <v>37.080969999999994</v>
      </c>
      <c r="M48" s="72">
        <f>SUM(→:←!M48)</f>
        <v>71.280000000000015</v>
      </c>
      <c r="N48" s="72">
        <f>SUM(→:←!N48)</f>
        <v>26.400000000000002</v>
      </c>
      <c r="O48" s="72">
        <f>SUM(→:←!O48)</f>
        <v>9.9</v>
      </c>
      <c r="P48" s="72">
        <f>SUM(→:←!P48)</f>
        <v>7.9200000000000017</v>
      </c>
      <c r="Q48" s="72">
        <f>SUM(→:←!Q48)</f>
        <v>4.95</v>
      </c>
      <c r="R48" s="72">
        <f>SUM(→:←!R48)</f>
        <v>0</v>
      </c>
      <c r="S48" s="74">
        <f>SUM(→:←!S48)</f>
        <v>0</v>
      </c>
      <c r="T48" s="76">
        <f>SUM(→:←!T48)</f>
        <v>276.09096355342126</v>
      </c>
      <c r="U48" s="75">
        <f>SUM(→:←!U48)</f>
        <v>-7.8267396501366022</v>
      </c>
      <c r="V48" s="71">
        <f>SUM(→:←!V48)</f>
        <v>6</v>
      </c>
      <c r="W48" s="72">
        <f>SUM(→:←!W48)</f>
        <v>4.8000000000000007</v>
      </c>
      <c r="X48" s="72">
        <f>SUM(→:←!X48)</f>
        <v>0</v>
      </c>
      <c r="Y48" s="72">
        <f>SUM(→:←!Y48)</f>
        <v>0</v>
      </c>
      <c r="Z48" s="72">
        <f>SUM(→:←!Z48)</f>
        <v>0</v>
      </c>
      <c r="AA48" s="72">
        <f>SUM(→:←!AA48)</f>
        <v>0</v>
      </c>
      <c r="AB48" s="74">
        <f>SUM(→:←!AB48)</f>
        <v>0</v>
      </c>
      <c r="AC48" s="76">
        <f>SUM(→:←!AC48)</f>
        <v>10.8</v>
      </c>
      <c r="AD48" s="75">
        <f>SUM(→:←!AD48)</f>
        <v>-18.626739650136614</v>
      </c>
      <c r="AE48" s="5">
        <f>SUM(→:←!AE48)</f>
        <v>48</v>
      </c>
      <c r="AF48" s="3">
        <f>SUM(→:←!AF48)</f>
        <v>0</v>
      </c>
      <c r="AG48" s="3">
        <f>SUM(→:←!AG48)</f>
        <v>0</v>
      </c>
      <c r="AH48" s="3">
        <f>SUM(→:←!AH48)</f>
        <v>0</v>
      </c>
      <c r="AI48" s="3">
        <f>SUM(→:←!AI48)</f>
        <v>0</v>
      </c>
      <c r="AJ48" s="14">
        <f>SUM(→:←!AJ48)</f>
        <v>20.75</v>
      </c>
      <c r="AK48" s="18">
        <f>SUM(→:←!AK48)</f>
        <v>68.75</v>
      </c>
      <c r="AL48" s="24">
        <f>SUM(→:←!AL48)</f>
        <v>-87.376739650136614</v>
      </c>
      <c r="AM48" s="75">
        <f>SUM(→:←!AM48)</f>
        <v>-0.83409381399997073</v>
      </c>
      <c r="AN48" s="1">
        <f t="shared" si="4"/>
        <v>-0.58386566979868348</v>
      </c>
      <c r="AO48" s="1">
        <f t="shared" si="8"/>
        <v>-143.29236567055585</v>
      </c>
      <c r="AP48" s="24">
        <f t="shared" si="10"/>
        <v>-143.87623134035454</v>
      </c>
      <c r="AQ48" s="24">
        <f t="shared" si="5"/>
        <v>-114.43371002108366</v>
      </c>
      <c r="AS48" s="1">
        <f>SUM(K48:$K$70)</f>
        <v>355.67998066026377</v>
      </c>
      <c r="AT48" s="1">
        <f t="shared" si="6"/>
        <v>-356.51407447426374</v>
      </c>
      <c r="AV48" s="24">
        <f t="shared" si="7"/>
        <v>355.64096355342127</v>
      </c>
      <c r="AX48" s="78">
        <f t="shared" si="9"/>
        <v>10355.640963553422</v>
      </c>
      <c r="AY48" s="78" t="str">
        <f>IF($AH48&gt;0,"車,","")&amp;IF($AF48&gt;0,"リフォーム,","")&amp;IF(子1!C48=18,"大学入学,","")&amp;IF(子2!C48=18,"大学入学,","")&amp;IF(子3!C48=18,"大学入学,","")&amp;IF(子4!C48=18,"大学入学,","")</f>
        <v/>
      </c>
    </row>
    <row r="49" spans="2:51" x14ac:dyDescent="0.25">
      <c r="B49" s="71">
        <f t="shared" si="11"/>
        <v>2065</v>
      </c>
      <c r="C49" s="72">
        <f t="shared" si="12"/>
        <v>67</v>
      </c>
      <c r="D49" s="73">
        <f>SUM(→:←!D49)</f>
        <v>105.01296456352635</v>
      </c>
      <c r="E49" s="72">
        <f>SUM(→:←!E49)</f>
        <v>83.954080000000005</v>
      </c>
      <c r="F49" s="72">
        <f>SUM(→:←!F49)</f>
        <v>0</v>
      </c>
      <c r="G49" s="72">
        <f>SUM(→:←!G49)</f>
        <v>0</v>
      </c>
      <c r="H49" s="72">
        <f>SUM(→:←!H49)</f>
        <v>199.66338323076928</v>
      </c>
      <c r="I49" s="74">
        <f>SUM(→:←!I49)</f>
        <v>-15.353239327484623</v>
      </c>
      <c r="J49" s="75">
        <f>SUM(→:←!J49)</f>
        <v>268.26422390328469</v>
      </c>
      <c r="K49" s="71">
        <f>SUM(→:←!K49)</f>
        <v>118.55999355342125</v>
      </c>
      <c r="L49" s="72">
        <f>SUM(→:←!L49)</f>
        <v>36.949649999999998</v>
      </c>
      <c r="M49" s="72">
        <f>SUM(→:←!M49)</f>
        <v>71.280000000000015</v>
      </c>
      <c r="N49" s="72">
        <f>SUM(→:←!N49)</f>
        <v>26.400000000000002</v>
      </c>
      <c r="O49" s="72">
        <f>SUM(→:←!O49)</f>
        <v>9.9</v>
      </c>
      <c r="P49" s="72">
        <f>SUM(→:←!P49)</f>
        <v>7.9200000000000017</v>
      </c>
      <c r="Q49" s="72">
        <f>SUM(→:←!Q49)</f>
        <v>4.95</v>
      </c>
      <c r="R49" s="72">
        <f>SUM(→:←!R49)</f>
        <v>0</v>
      </c>
      <c r="S49" s="74">
        <f>SUM(→:←!S49)</f>
        <v>0</v>
      </c>
      <c r="T49" s="76">
        <f>SUM(→:←!T49)</f>
        <v>275.9596435534213</v>
      </c>
      <c r="U49" s="75">
        <f>SUM(→:←!U49)</f>
        <v>-7.6954196501366141</v>
      </c>
      <c r="V49" s="71">
        <f>SUM(→:←!V49)</f>
        <v>6</v>
      </c>
      <c r="W49" s="72">
        <f>SUM(→:←!W49)</f>
        <v>4.8000000000000007</v>
      </c>
      <c r="X49" s="72">
        <f>SUM(→:←!X49)</f>
        <v>0</v>
      </c>
      <c r="Y49" s="72">
        <f>SUM(→:←!Y49)</f>
        <v>0</v>
      </c>
      <c r="Z49" s="72">
        <f>SUM(→:←!Z49)</f>
        <v>0</v>
      </c>
      <c r="AA49" s="72">
        <f>SUM(→:←!AA49)</f>
        <v>0</v>
      </c>
      <c r="AB49" s="74">
        <f>SUM(→:←!AB49)</f>
        <v>0</v>
      </c>
      <c r="AC49" s="76">
        <f>SUM(→:←!AC49)</f>
        <v>10.8</v>
      </c>
      <c r="AD49" s="75">
        <f>SUM(→:←!AD49)</f>
        <v>-18.495419650136625</v>
      </c>
      <c r="AE49" s="5">
        <f>SUM(→:←!AE49)</f>
        <v>48</v>
      </c>
      <c r="AF49" s="3">
        <f>SUM(→:←!AF49)</f>
        <v>0</v>
      </c>
      <c r="AG49" s="3">
        <f>SUM(→:←!AG49)</f>
        <v>0</v>
      </c>
      <c r="AH49" s="3">
        <f>SUM(→:←!AH49)</f>
        <v>0</v>
      </c>
      <c r="AI49" s="3">
        <f>SUM(→:←!AI49)</f>
        <v>0</v>
      </c>
      <c r="AJ49" s="14">
        <f>SUM(→:←!AJ49)</f>
        <v>20.75</v>
      </c>
      <c r="AK49" s="18">
        <f>SUM(→:←!AK49)</f>
        <v>68.75</v>
      </c>
      <c r="AL49" s="24">
        <f>SUM(→:←!AL49)</f>
        <v>-87.245419650136625</v>
      </c>
      <c r="AM49" s="75">
        <f>SUM(→:←!AM49)</f>
        <v>-88.079513464134834</v>
      </c>
      <c r="AN49" s="1">
        <f t="shared" si="4"/>
        <v>-61.655659424894317</v>
      </c>
      <c r="AO49" s="1">
        <f t="shared" si="8"/>
        <v>-176.63060984912465</v>
      </c>
      <c r="AP49" s="24">
        <f t="shared" si="10"/>
        <v>-238.28626927401896</v>
      </c>
      <c r="AQ49" s="24">
        <f t="shared" si="5"/>
        <v>-120.16540464790731</v>
      </c>
      <c r="AS49" s="1">
        <f>SUM(K49:$K$70)</f>
        <v>237.1199871068425</v>
      </c>
      <c r="AT49" s="1">
        <f t="shared" si="6"/>
        <v>-325.19950057097731</v>
      </c>
      <c r="AV49" s="24">
        <f t="shared" si="7"/>
        <v>355.50964355342131</v>
      </c>
      <c r="AX49" s="78">
        <f t="shared" si="9"/>
        <v>10355.509643553421</v>
      </c>
      <c r="AY49" s="78" t="str">
        <f>IF($AH49&gt;0,"車,","")&amp;IF($AF49&gt;0,"リフォーム,","")&amp;IF(子1!C49=18,"大学入学,","")&amp;IF(子2!C49=18,"大学入学,","")&amp;IF(子3!C49=18,"大学入学,","")&amp;IF(子4!C49=18,"大学入学,","")</f>
        <v/>
      </c>
    </row>
    <row r="50" spans="2:51" x14ac:dyDescent="0.25">
      <c r="B50" s="71">
        <f t="shared" si="11"/>
        <v>2066</v>
      </c>
      <c r="C50" s="72">
        <f t="shared" si="12"/>
        <v>68</v>
      </c>
      <c r="D50" s="73">
        <f>SUM(→:←!D50)</f>
        <v>0</v>
      </c>
      <c r="E50" s="72">
        <f>SUM(→:←!E50)</f>
        <v>0</v>
      </c>
      <c r="F50" s="72">
        <f>SUM(→:←!F50)</f>
        <v>0</v>
      </c>
      <c r="G50" s="72">
        <f>SUM(→:←!G50)</f>
        <v>0</v>
      </c>
      <c r="H50" s="72">
        <f>SUM(→:←!H50)</f>
        <v>303.73316344615387</v>
      </c>
      <c r="I50" s="74">
        <f>SUM(→:←!I50)</f>
        <v>-15.353239327484623</v>
      </c>
      <c r="J50" s="75">
        <f>SUM(→:←!J50)</f>
        <v>288.37992411866924</v>
      </c>
      <c r="K50" s="71">
        <f>SUM(→:←!K50)</f>
        <v>118.55999355342125</v>
      </c>
      <c r="L50" s="72">
        <f>SUM(→:←!L50)</f>
        <v>36.687009999999994</v>
      </c>
      <c r="M50" s="72">
        <f>SUM(→:←!M50)</f>
        <v>71.280000000000015</v>
      </c>
      <c r="N50" s="72">
        <f>SUM(→:←!N50)</f>
        <v>26.400000000000002</v>
      </c>
      <c r="O50" s="72">
        <f>SUM(→:←!O50)</f>
        <v>9.9</v>
      </c>
      <c r="P50" s="72">
        <f>SUM(→:←!P50)</f>
        <v>7.9200000000000017</v>
      </c>
      <c r="Q50" s="72">
        <f>SUM(→:←!Q50)</f>
        <v>4.95</v>
      </c>
      <c r="R50" s="72">
        <f>SUM(→:←!R50)</f>
        <v>0</v>
      </c>
      <c r="S50" s="74">
        <f>SUM(→:←!S50)</f>
        <v>0</v>
      </c>
      <c r="T50" s="76">
        <f>SUM(→:←!T50)</f>
        <v>275.69700355342127</v>
      </c>
      <c r="U50" s="75">
        <f>SUM(→:←!U50)</f>
        <v>12.682920565247997</v>
      </c>
      <c r="V50" s="71">
        <f>SUM(→:←!V50)</f>
        <v>6</v>
      </c>
      <c r="W50" s="72">
        <f>SUM(→:←!W50)</f>
        <v>4.8000000000000007</v>
      </c>
      <c r="X50" s="72">
        <f>SUM(→:←!X50)</f>
        <v>0</v>
      </c>
      <c r="Y50" s="72">
        <f>SUM(→:←!Y50)</f>
        <v>0</v>
      </c>
      <c r="Z50" s="72">
        <f>SUM(→:←!Z50)</f>
        <v>0</v>
      </c>
      <c r="AA50" s="72">
        <f>SUM(→:←!AA50)</f>
        <v>0</v>
      </c>
      <c r="AB50" s="74">
        <f>SUM(→:←!AB50)</f>
        <v>0</v>
      </c>
      <c r="AC50" s="76">
        <f>SUM(→:←!AC50)</f>
        <v>10.8</v>
      </c>
      <c r="AD50" s="75">
        <f>SUM(→:←!AD50)</f>
        <v>1.8829205652479857</v>
      </c>
      <c r="AE50" s="5">
        <f>SUM(→:←!AE50)</f>
        <v>48</v>
      </c>
      <c r="AF50" s="3">
        <f>SUM(→:←!AF50)</f>
        <v>0</v>
      </c>
      <c r="AG50" s="3">
        <f>SUM(→:←!AG50)</f>
        <v>0</v>
      </c>
      <c r="AH50" s="3">
        <f>SUM(→:←!AH50)</f>
        <v>0</v>
      </c>
      <c r="AI50" s="3">
        <f>SUM(→:←!AI50)</f>
        <v>0</v>
      </c>
      <c r="AJ50" s="14">
        <f>SUM(→:←!AJ50)</f>
        <v>20.75</v>
      </c>
      <c r="AK50" s="18">
        <f>SUM(→:←!AK50)</f>
        <v>68.75</v>
      </c>
      <c r="AL50" s="24">
        <f>SUM(→:←!AL50)</f>
        <v>-66.867079434752014</v>
      </c>
      <c r="AM50" s="75">
        <f>SUM(→:←!AM50)</f>
        <v>-154.94659289888841</v>
      </c>
      <c r="AN50" s="1">
        <f t="shared" si="4"/>
        <v>-108.46261502922073</v>
      </c>
      <c r="AO50" s="1">
        <f t="shared" si="8"/>
        <v>-205.52226417200649</v>
      </c>
      <c r="AP50" s="24">
        <f t="shared" si="10"/>
        <v>-313.98487920122722</v>
      </c>
      <c r="AQ50" s="24">
        <f t="shared" si="5"/>
        <v>-127.23062904187105</v>
      </c>
      <c r="AS50" s="1">
        <f>SUM(K50:$K$70)</f>
        <v>118.55999355342125</v>
      </c>
      <c r="AT50" s="1">
        <f t="shared" si="6"/>
        <v>-273.50658645230965</v>
      </c>
      <c r="AV50" s="24">
        <f t="shared" si="7"/>
        <v>355.24700355342128</v>
      </c>
      <c r="AX50" s="78">
        <f t="shared" si="9"/>
        <v>10355.247003553421</v>
      </c>
      <c r="AY50" s="78" t="str">
        <f>IF($AH50&gt;0,"車,","")&amp;IF($AF50&gt;0,"リフォーム,","")&amp;IF(子1!C50=18,"大学入学,","")&amp;IF(子2!C50=18,"大学入学,","")&amp;IF(子3!C50=18,"大学入学,","")&amp;IF(子4!C50=18,"大学入学,","")</f>
        <v/>
      </c>
    </row>
    <row r="51" spans="2:51" x14ac:dyDescent="0.25">
      <c r="B51" s="71">
        <f t="shared" si="11"/>
        <v>2067</v>
      </c>
      <c r="C51" s="72">
        <f t="shared" si="12"/>
        <v>69</v>
      </c>
      <c r="D51" s="73">
        <f>SUM(→:←!D51)</f>
        <v>0</v>
      </c>
      <c r="E51" s="72">
        <f>SUM(→:←!E51)</f>
        <v>0</v>
      </c>
      <c r="F51" s="72">
        <f>SUM(→:←!F51)</f>
        <v>0</v>
      </c>
      <c r="G51" s="72">
        <f>SUM(→:←!G51)</f>
        <v>0</v>
      </c>
      <c r="H51" s="72">
        <f>SUM(→:←!H51)</f>
        <v>303.73316344615387</v>
      </c>
      <c r="I51" s="74">
        <f>SUM(→:←!I51)</f>
        <v>-15.353239327484623</v>
      </c>
      <c r="J51" s="75">
        <f>SUM(→:←!J51)</f>
        <v>288.37992411866924</v>
      </c>
      <c r="K51" s="71">
        <f>SUM(→:←!K51)</f>
        <v>0</v>
      </c>
      <c r="L51" s="72">
        <f>SUM(→:←!L51)</f>
        <v>36.687009999999994</v>
      </c>
      <c r="M51" s="72">
        <f>SUM(→:←!M51)</f>
        <v>71.280000000000015</v>
      </c>
      <c r="N51" s="72">
        <f>SUM(→:←!N51)</f>
        <v>26.400000000000002</v>
      </c>
      <c r="O51" s="72">
        <f>SUM(→:←!O51)</f>
        <v>9.9</v>
      </c>
      <c r="P51" s="72">
        <f>SUM(→:←!P51)</f>
        <v>7.9200000000000017</v>
      </c>
      <c r="Q51" s="72">
        <f>SUM(→:←!Q51)</f>
        <v>4.95</v>
      </c>
      <c r="R51" s="72">
        <f>SUM(→:←!R51)</f>
        <v>0</v>
      </c>
      <c r="S51" s="74">
        <f>SUM(→:←!S51)</f>
        <v>0</v>
      </c>
      <c r="T51" s="76">
        <f>SUM(→:←!T51)</f>
        <v>157.13701</v>
      </c>
      <c r="U51" s="75">
        <f>SUM(→:←!U51)</f>
        <v>131.24291411866926</v>
      </c>
      <c r="V51" s="71">
        <f>SUM(→:←!V51)</f>
        <v>6</v>
      </c>
      <c r="W51" s="72">
        <f>SUM(→:←!W51)</f>
        <v>4.8000000000000007</v>
      </c>
      <c r="X51" s="72">
        <f>SUM(→:←!X51)</f>
        <v>0</v>
      </c>
      <c r="Y51" s="72">
        <f>SUM(→:←!Y51)</f>
        <v>0</v>
      </c>
      <c r="Z51" s="72">
        <f>SUM(→:←!Z51)</f>
        <v>0</v>
      </c>
      <c r="AA51" s="72">
        <f>SUM(→:←!AA51)</f>
        <v>0</v>
      </c>
      <c r="AB51" s="74">
        <f>SUM(→:←!AB51)</f>
        <v>0</v>
      </c>
      <c r="AC51" s="76">
        <f>SUM(→:←!AC51)</f>
        <v>10.8</v>
      </c>
      <c r="AD51" s="75">
        <f>SUM(→:←!AD51)</f>
        <v>120.44291411866925</v>
      </c>
      <c r="AE51" s="5">
        <f>SUM(→:←!AE51)</f>
        <v>48</v>
      </c>
      <c r="AF51" s="3">
        <f>SUM(→:←!AF51)</f>
        <v>0</v>
      </c>
      <c r="AG51" s="3">
        <f>SUM(→:←!AG51)</f>
        <v>57</v>
      </c>
      <c r="AH51" s="3">
        <f>SUM(→:←!AH51)</f>
        <v>250</v>
      </c>
      <c r="AI51" s="3">
        <f>SUM(→:←!AI51)</f>
        <v>0</v>
      </c>
      <c r="AJ51" s="14">
        <f>SUM(→:←!AJ51)</f>
        <v>20.75</v>
      </c>
      <c r="AK51" s="18">
        <f>SUM(→:←!AK51)</f>
        <v>375.75</v>
      </c>
      <c r="AL51" s="24">
        <f>SUM(→:←!AL51)</f>
        <v>-255.30708588133075</v>
      </c>
      <c r="AM51" s="75">
        <f>SUM(→:←!AM51)</f>
        <v>-410.25367878021643</v>
      </c>
      <c r="AN51" s="1">
        <f t="shared" si="4"/>
        <v>-287.17757514615221</v>
      </c>
      <c r="AO51" s="1">
        <f t="shared" si="8"/>
        <v>-292.39050314500605</v>
      </c>
      <c r="AP51" s="24">
        <f t="shared" si="10"/>
        <v>-579.56807829115826</v>
      </c>
      <c r="AQ51" s="24">
        <f t="shared" si="5"/>
        <v>-135.45151960875347</v>
      </c>
      <c r="AS51" s="1">
        <f>SUM(K51:$K$70)</f>
        <v>0</v>
      </c>
      <c r="AT51" s="1">
        <f t="shared" si="6"/>
        <v>-410.25367878021643</v>
      </c>
      <c r="AV51" s="24">
        <f t="shared" si="7"/>
        <v>543.68700999999999</v>
      </c>
      <c r="AX51" s="78">
        <f t="shared" si="9"/>
        <v>652.42441199999996</v>
      </c>
      <c r="AY51" s="78" t="str">
        <f>IF($AH51&gt;0,"車,","")&amp;IF($AF51&gt;0,"リフォーム,","")&amp;IF(子1!C51=18,"大学入学,","")&amp;IF(子2!C51=18,"大学入学,","")&amp;IF(子3!C51=18,"大学入学,","")&amp;IF(子4!C51=18,"大学入学,","")</f>
        <v>車,</v>
      </c>
    </row>
    <row r="52" spans="2:51" hidden="1" outlineLevel="1" x14ac:dyDescent="0.25">
      <c r="B52" s="71">
        <f t="shared" si="11"/>
        <v>2068</v>
      </c>
      <c r="C52" s="72">
        <f t="shared" si="12"/>
        <v>70</v>
      </c>
      <c r="D52" s="73">
        <f>SUM(→:←!D52)</f>
        <v>0</v>
      </c>
      <c r="E52" s="72">
        <f>SUM(→:←!E52)</f>
        <v>0</v>
      </c>
      <c r="F52" s="72">
        <f>SUM(→:←!F52)</f>
        <v>0</v>
      </c>
      <c r="G52" s="72">
        <f>SUM(→:←!G52)</f>
        <v>0</v>
      </c>
      <c r="H52" s="72">
        <f>SUM(→:←!H52)</f>
        <v>303.73316344615387</v>
      </c>
      <c r="I52" s="74">
        <f>SUM(→:←!I52)</f>
        <v>-15.353239327484623</v>
      </c>
      <c r="J52" s="75">
        <f>SUM(→:←!J52)</f>
        <v>288.37992411866924</v>
      </c>
      <c r="K52" s="71">
        <f>SUM(→:←!K52)</f>
        <v>0</v>
      </c>
      <c r="L52" s="72">
        <f>SUM(→:←!L52)</f>
        <v>36.555689999999998</v>
      </c>
      <c r="M52" s="72">
        <f>SUM(→:←!M52)</f>
        <v>71.280000000000015</v>
      </c>
      <c r="N52" s="72">
        <f>SUM(→:←!N52)</f>
        <v>26.400000000000002</v>
      </c>
      <c r="O52" s="72">
        <f>SUM(→:←!O52)</f>
        <v>9.9</v>
      </c>
      <c r="P52" s="72">
        <f>SUM(→:←!P52)</f>
        <v>7.9200000000000017</v>
      </c>
      <c r="Q52" s="72">
        <f>SUM(→:←!Q52)</f>
        <v>4.95</v>
      </c>
      <c r="R52" s="72">
        <f>SUM(→:←!R52)</f>
        <v>0</v>
      </c>
      <c r="S52" s="74">
        <f>SUM(→:←!S52)</f>
        <v>0</v>
      </c>
      <c r="T52" s="76">
        <f>SUM(→:←!T52)</f>
        <v>157.00569000000002</v>
      </c>
      <c r="U52" s="75">
        <f>SUM(→:←!U52)</f>
        <v>131.37423411866925</v>
      </c>
      <c r="V52" s="71">
        <f>SUM(→:←!V52)</f>
        <v>6</v>
      </c>
      <c r="W52" s="72">
        <f>SUM(→:←!W52)</f>
        <v>4.8000000000000007</v>
      </c>
      <c r="X52" s="72">
        <f>SUM(→:←!X52)</f>
        <v>0</v>
      </c>
      <c r="Y52" s="72">
        <f>SUM(→:←!Y52)</f>
        <v>0</v>
      </c>
      <c r="Z52" s="72">
        <f>SUM(→:←!Z52)</f>
        <v>0</v>
      </c>
      <c r="AA52" s="72">
        <f>SUM(→:←!AA52)</f>
        <v>0</v>
      </c>
      <c r="AB52" s="74">
        <f>SUM(→:←!AB52)</f>
        <v>0</v>
      </c>
      <c r="AC52" s="76">
        <f>SUM(→:←!AC52)</f>
        <v>10.8</v>
      </c>
      <c r="AD52" s="75">
        <f>SUM(→:←!AD52)</f>
        <v>120.57423411866924</v>
      </c>
      <c r="AE52" s="5">
        <f>SUM(→:←!AE52)</f>
        <v>48</v>
      </c>
      <c r="AF52" s="3">
        <f>SUM(→:←!AF52)</f>
        <v>0</v>
      </c>
      <c r="AG52" s="3">
        <f>SUM(→:←!AG52)</f>
        <v>0</v>
      </c>
      <c r="AH52" s="3">
        <f>SUM(→:←!AH52)</f>
        <v>0</v>
      </c>
      <c r="AI52" s="3">
        <f>SUM(→:←!AI52)</f>
        <v>0</v>
      </c>
      <c r="AJ52" s="14">
        <f>SUM(→:←!AJ52)</f>
        <v>20.75</v>
      </c>
      <c r="AK52" s="18">
        <f>SUM(→:←!AK52)</f>
        <v>68.75</v>
      </c>
      <c r="AL52" s="24">
        <f>SUM(→:←!AL52)</f>
        <v>51.824234118669239</v>
      </c>
      <c r="AM52" s="75">
        <f>SUM(→:←!AM52)</f>
        <v>-358.42944466154859</v>
      </c>
      <c r="AN52" s="1">
        <f t="shared" si="4"/>
        <v>-250.90061126308376</v>
      </c>
      <c r="AO52" s="1">
        <f t="shared" si="8"/>
        <v>-291.46275806665562</v>
      </c>
      <c r="AP52" s="24">
        <f t="shared" si="10"/>
        <v>-542.36336932973938</v>
      </c>
      <c r="AQ52" s="24">
        <f t="shared" si="5"/>
        <v>-147.14713973455264</v>
      </c>
      <c r="AS52" s="1">
        <f>SUM(K52:$K$70)</f>
        <v>0</v>
      </c>
      <c r="AT52" s="1">
        <f t="shared" si="6"/>
        <v>-358.42944466154859</v>
      </c>
      <c r="AV52" s="24">
        <f t="shared" si="7"/>
        <v>236.55569000000003</v>
      </c>
      <c r="AX52" s="78">
        <f t="shared" si="9"/>
        <v>10236.555689999999</v>
      </c>
      <c r="AY52" s="78" t="str">
        <f>IF($AH52&gt;0,"車,","")&amp;IF($AF52&gt;0,"リフォーム,","")&amp;IF(子1!C52=18,"大学入学,","")&amp;IF(子2!C52=18,"大学入学,","")&amp;IF(子3!C52=18,"大学入学,","")&amp;IF(子4!C52=18,"大学入学,","")</f>
        <v/>
      </c>
    </row>
    <row r="53" spans="2:51" hidden="1" outlineLevel="1" x14ac:dyDescent="0.25">
      <c r="B53" s="71">
        <f t="shared" si="11"/>
        <v>2069</v>
      </c>
      <c r="C53" s="72">
        <f t="shared" si="12"/>
        <v>71</v>
      </c>
      <c r="D53" s="73">
        <f>SUM(→:←!D53)</f>
        <v>0</v>
      </c>
      <c r="E53" s="72">
        <f>SUM(→:←!E53)</f>
        <v>0</v>
      </c>
      <c r="F53" s="72">
        <f>SUM(→:←!F53)</f>
        <v>0</v>
      </c>
      <c r="G53" s="72">
        <f>SUM(→:←!G53)</f>
        <v>0</v>
      </c>
      <c r="H53" s="72">
        <f>SUM(→:←!H53)</f>
        <v>303.73316344615387</v>
      </c>
      <c r="I53" s="74">
        <f>SUM(→:←!I53)</f>
        <v>-15.353239327484623</v>
      </c>
      <c r="J53" s="75">
        <f>SUM(→:←!J53)</f>
        <v>288.37992411866924</v>
      </c>
      <c r="K53" s="71">
        <f>SUM(→:←!K53)</f>
        <v>0</v>
      </c>
      <c r="L53" s="72">
        <f>SUM(→:←!L53)</f>
        <v>36.555689999999998</v>
      </c>
      <c r="M53" s="72">
        <f>SUM(→:←!M53)</f>
        <v>71.280000000000015</v>
      </c>
      <c r="N53" s="72">
        <f>SUM(→:←!N53)</f>
        <v>26.400000000000002</v>
      </c>
      <c r="O53" s="72">
        <f>SUM(→:←!O53)</f>
        <v>9.9</v>
      </c>
      <c r="P53" s="72">
        <f>SUM(→:←!P53)</f>
        <v>7.9200000000000017</v>
      </c>
      <c r="Q53" s="72">
        <f>SUM(→:←!Q53)</f>
        <v>4.95</v>
      </c>
      <c r="R53" s="72">
        <f>SUM(→:←!R53)</f>
        <v>0</v>
      </c>
      <c r="S53" s="74">
        <f>SUM(→:←!S53)</f>
        <v>0</v>
      </c>
      <c r="T53" s="76">
        <f>SUM(→:←!T53)</f>
        <v>157.00569000000002</v>
      </c>
      <c r="U53" s="75">
        <f>SUM(→:←!U53)</f>
        <v>131.37423411866925</v>
      </c>
      <c r="V53" s="71">
        <f>SUM(→:←!V53)</f>
        <v>6</v>
      </c>
      <c r="W53" s="72">
        <f>SUM(→:←!W53)</f>
        <v>4.8000000000000007</v>
      </c>
      <c r="X53" s="72">
        <f>SUM(→:←!X53)</f>
        <v>0</v>
      </c>
      <c r="Y53" s="72">
        <f>SUM(→:←!Y53)</f>
        <v>0</v>
      </c>
      <c r="Z53" s="72">
        <f>SUM(→:←!Z53)</f>
        <v>0</v>
      </c>
      <c r="AA53" s="72">
        <f>SUM(→:←!AA53)</f>
        <v>0</v>
      </c>
      <c r="AB53" s="74">
        <f>SUM(→:←!AB53)</f>
        <v>0</v>
      </c>
      <c r="AC53" s="76">
        <f>SUM(→:←!AC53)</f>
        <v>10.8</v>
      </c>
      <c r="AD53" s="75">
        <f>SUM(→:←!AD53)</f>
        <v>120.57423411866924</v>
      </c>
      <c r="AE53" s="5">
        <f>SUM(→:←!AE53)</f>
        <v>48</v>
      </c>
      <c r="AF53" s="3">
        <f>SUM(→:←!AF53)</f>
        <v>0</v>
      </c>
      <c r="AG53" s="3">
        <f>SUM(→:←!AG53)</f>
        <v>0</v>
      </c>
      <c r="AH53" s="3">
        <f>SUM(→:←!AH53)</f>
        <v>0</v>
      </c>
      <c r="AI53" s="3">
        <f>SUM(→:←!AI53)</f>
        <v>0</v>
      </c>
      <c r="AJ53" s="14">
        <f>SUM(→:←!AJ53)</f>
        <v>20.75</v>
      </c>
      <c r="AK53" s="18">
        <f>SUM(→:←!AK53)</f>
        <v>68.75</v>
      </c>
      <c r="AL53" s="24">
        <f>SUM(→:←!AL53)</f>
        <v>51.824234118669239</v>
      </c>
      <c r="AM53" s="75">
        <f>SUM(→:←!AM53)</f>
        <v>-306.6052105428771</v>
      </c>
      <c r="AN53" s="1">
        <f t="shared" si="4"/>
        <v>-214.62364738001531</v>
      </c>
      <c r="AO53" s="1">
        <f t="shared" si="8"/>
        <v>-290.48862573438765</v>
      </c>
      <c r="AP53" s="24">
        <f t="shared" si="10"/>
        <v>-505.11227311440297</v>
      </c>
      <c r="AQ53" s="24">
        <f t="shared" si="5"/>
        <v>-158.8056500572207</v>
      </c>
      <c r="AS53" s="1">
        <f>SUM(K53:$K$70)</f>
        <v>0</v>
      </c>
      <c r="AT53" s="1">
        <f t="shared" si="6"/>
        <v>-306.6052105428771</v>
      </c>
      <c r="AV53" s="24">
        <f t="shared" si="7"/>
        <v>236.55569000000003</v>
      </c>
      <c r="AX53" s="78">
        <f t="shared" si="9"/>
        <v>10236.555689999999</v>
      </c>
      <c r="AY53" s="78" t="str">
        <f>IF($AH53&gt;0,"車,","")&amp;IF($AF53&gt;0,"リフォーム,","")&amp;IF(子1!C53=18,"大学入学,","")&amp;IF(子2!C53=18,"大学入学,","")&amp;IF(子3!C53=18,"大学入学,","")&amp;IF(子4!C53=18,"大学入学,","")</f>
        <v/>
      </c>
    </row>
    <row r="54" spans="2:51" hidden="1" outlineLevel="1" x14ac:dyDescent="0.25">
      <c r="B54" s="71">
        <f t="shared" si="11"/>
        <v>2070</v>
      </c>
      <c r="C54" s="72">
        <f t="shared" si="12"/>
        <v>72</v>
      </c>
      <c r="D54" s="73">
        <f>SUM(→:←!D54)</f>
        <v>0</v>
      </c>
      <c r="E54" s="72">
        <f>SUM(→:←!E54)</f>
        <v>0</v>
      </c>
      <c r="F54" s="72">
        <f>SUM(→:←!F54)</f>
        <v>0</v>
      </c>
      <c r="G54" s="72">
        <f>SUM(→:←!G54)</f>
        <v>0</v>
      </c>
      <c r="H54" s="72">
        <f>SUM(→:←!H54)</f>
        <v>303.73316344615387</v>
      </c>
      <c r="I54" s="74">
        <f>SUM(→:←!I54)</f>
        <v>-15.353239327484623</v>
      </c>
      <c r="J54" s="75">
        <f>SUM(→:←!J54)</f>
        <v>288.37992411866924</v>
      </c>
      <c r="K54" s="71">
        <f>SUM(→:←!K54)</f>
        <v>0</v>
      </c>
      <c r="L54" s="72">
        <f>SUM(→:←!L54)</f>
        <v>36.424369999999996</v>
      </c>
      <c r="M54" s="72">
        <f>SUM(→:←!M54)</f>
        <v>71.280000000000015</v>
      </c>
      <c r="N54" s="72">
        <f>SUM(→:←!N54)</f>
        <v>26.400000000000002</v>
      </c>
      <c r="O54" s="72">
        <f>SUM(→:←!O54)</f>
        <v>9.9</v>
      </c>
      <c r="P54" s="72">
        <f>SUM(→:←!P54)</f>
        <v>7.9200000000000017</v>
      </c>
      <c r="Q54" s="72">
        <f>SUM(→:←!Q54)</f>
        <v>4.95</v>
      </c>
      <c r="R54" s="72">
        <f>SUM(→:←!R54)</f>
        <v>0</v>
      </c>
      <c r="S54" s="74">
        <f>SUM(→:←!S54)</f>
        <v>0</v>
      </c>
      <c r="T54" s="76">
        <f>SUM(→:←!T54)</f>
        <v>156.87437</v>
      </c>
      <c r="U54" s="75">
        <f>SUM(→:←!U54)</f>
        <v>131.50555411866924</v>
      </c>
      <c r="V54" s="71">
        <f>SUM(→:←!V54)</f>
        <v>6</v>
      </c>
      <c r="W54" s="72">
        <f>SUM(→:←!W54)</f>
        <v>4.8000000000000007</v>
      </c>
      <c r="X54" s="72">
        <f>SUM(→:←!X54)</f>
        <v>0</v>
      </c>
      <c r="Y54" s="72">
        <f>SUM(→:←!Y54)</f>
        <v>0</v>
      </c>
      <c r="Z54" s="72">
        <f>SUM(→:←!Z54)</f>
        <v>0</v>
      </c>
      <c r="AA54" s="72">
        <f>SUM(→:←!AA54)</f>
        <v>0</v>
      </c>
      <c r="AB54" s="74">
        <f>SUM(→:←!AB54)</f>
        <v>0</v>
      </c>
      <c r="AC54" s="76">
        <f>SUM(→:←!AC54)</f>
        <v>10.8</v>
      </c>
      <c r="AD54" s="75">
        <f>SUM(→:←!AD54)</f>
        <v>120.70555411866924</v>
      </c>
      <c r="AE54" s="5">
        <f>SUM(→:←!AE54)</f>
        <v>48</v>
      </c>
      <c r="AF54" s="3">
        <f>SUM(→:←!AF54)</f>
        <v>0</v>
      </c>
      <c r="AG54" s="3">
        <f>SUM(→:←!AG54)</f>
        <v>0</v>
      </c>
      <c r="AH54" s="3">
        <f>SUM(→:←!AH54)</f>
        <v>0</v>
      </c>
      <c r="AI54" s="3">
        <f>SUM(→:←!AI54)</f>
        <v>0</v>
      </c>
      <c r="AJ54" s="14">
        <f>SUM(→:←!AJ54)</f>
        <v>20.75</v>
      </c>
      <c r="AK54" s="18">
        <f>SUM(→:←!AK54)</f>
        <v>68.75</v>
      </c>
      <c r="AL54" s="24">
        <f>SUM(→:←!AL54)</f>
        <v>51.955554118669241</v>
      </c>
      <c r="AM54" s="75">
        <f>SUM(→:←!AM54)</f>
        <v>-254.64965642420884</v>
      </c>
      <c r="AN54" s="1">
        <f t="shared" si="4"/>
        <v>-178.25475949694686</v>
      </c>
      <c r="AO54" s="1">
        <f t="shared" si="8"/>
        <v>-289.42639078550627</v>
      </c>
      <c r="AP54" s="24">
        <f t="shared" si="10"/>
        <v>-467.68115028245313</v>
      </c>
      <c r="AQ54" s="24">
        <f t="shared" si="5"/>
        <v>-170.42519508659544</v>
      </c>
      <c r="AS54" s="1">
        <f>SUM(K54:$K$70)</f>
        <v>0</v>
      </c>
      <c r="AT54" s="1">
        <f t="shared" si="6"/>
        <v>-254.64965642420884</v>
      </c>
      <c r="AV54" s="24">
        <f t="shared" si="7"/>
        <v>236.42437000000001</v>
      </c>
      <c r="AX54" s="78">
        <f t="shared" si="9"/>
        <v>10236.424370000001</v>
      </c>
      <c r="AY54" s="78" t="str">
        <f>IF($AH54&gt;0,"車,","")&amp;IF($AF54&gt;0,"リフォーム,","")&amp;IF(子1!C54=18,"大学入学,","")&amp;IF(子2!C54=18,"大学入学,","")&amp;IF(子3!C54=18,"大学入学,","")&amp;IF(子4!C54=18,"大学入学,","")</f>
        <v/>
      </c>
    </row>
    <row r="55" spans="2:51" hidden="1" outlineLevel="1" x14ac:dyDescent="0.25">
      <c r="B55" s="71">
        <f t="shared" si="11"/>
        <v>2071</v>
      </c>
      <c r="C55" s="72">
        <f t="shared" si="12"/>
        <v>73</v>
      </c>
      <c r="D55" s="73">
        <f>SUM(→:←!D55)</f>
        <v>0</v>
      </c>
      <c r="E55" s="72">
        <f>SUM(→:←!E55)</f>
        <v>0</v>
      </c>
      <c r="F55" s="72">
        <f>SUM(→:←!F55)</f>
        <v>0</v>
      </c>
      <c r="G55" s="72">
        <f>SUM(→:←!G55)</f>
        <v>0</v>
      </c>
      <c r="H55" s="72">
        <f>SUM(→:←!H55)</f>
        <v>303.73316344615387</v>
      </c>
      <c r="I55" s="74">
        <f>SUM(→:←!I55)</f>
        <v>-15.353239327484623</v>
      </c>
      <c r="J55" s="75">
        <f>SUM(→:←!J55)</f>
        <v>288.37992411866924</v>
      </c>
      <c r="K55" s="71">
        <f>SUM(→:←!K55)</f>
        <v>0</v>
      </c>
      <c r="L55" s="72">
        <f>SUM(→:←!L55)</f>
        <v>36.424369999999996</v>
      </c>
      <c r="M55" s="72">
        <f>SUM(→:←!M55)</f>
        <v>71.280000000000015</v>
      </c>
      <c r="N55" s="72">
        <f>SUM(→:←!N55)</f>
        <v>26.400000000000002</v>
      </c>
      <c r="O55" s="72">
        <f>SUM(→:←!O55)</f>
        <v>9.9</v>
      </c>
      <c r="P55" s="72">
        <f>SUM(→:←!P55)</f>
        <v>7.9200000000000017</v>
      </c>
      <c r="Q55" s="72">
        <f>SUM(→:←!Q55)</f>
        <v>4.95</v>
      </c>
      <c r="R55" s="72">
        <f>SUM(→:←!R55)</f>
        <v>0</v>
      </c>
      <c r="S55" s="74">
        <f>SUM(→:←!S55)</f>
        <v>0</v>
      </c>
      <c r="T55" s="76">
        <f>SUM(→:←!T55)</f>
        <v>156.87437</v>
      </c>
      <c r="U55" s="75">
        <f>SUM(→:←!U55)</f>
        <v>131.50555411866924</v>
      </c>
      <c r="V55" s="71">
        <f>SUM(→:←!V55)</f>
        <v>6</v>
      </c>
      <c r="W55" s="72">
        <f>SUM(→:←!W55)</f>
        <v>4.8000000000000007</v>
      </c>
      <c r="X55" s="72">
        <f>SUM(→:←!X55)</f>
        <v>0</v>
      </c>
      <c r="Y55" s="72">
        <f>SUM(→:←!Y55)</f>
        <v>0</v>
      </c>
      <c r="Z55" s="72">
        <f>SUM(→:←!Z55)</f>
        <v>0</v>
      </c>
      <c r="AA55" s="72">
        <f>SUM(→:←!AA55)</f>
        <v>0</v>
      </c>
      <c r="AB55" s="74">
        <f>SUM(→:←!AB55)</f>
        <v>0</v>
      </c>
      <c r="AC55" s="76">
        <f>SUM(→:←!AC55)</f>
        <v>10.8</v>
      </c>
      <c r="AD55" s="75">
        <f>SUM(→:←!AD55)</f>
        <v>120.70555411866924</v>
      </c>
      <c r="AE55" s="5">
        <f>SUM(→:←!AE55)</f>
        <v>48</v>
      </c>
      <c r="AF55" s="3">
        <f>SUM(→:←!AF55)</f>
        <v>316</v>
      </c>
      <c r="AG55" s="3">
        <f>SUM(→:←!AG55)</f>
        <v>0</v>
      </c>
      <c r="AH55" s="3">
        <f>SUM(→:←!AH55)</f>
        <v>0</v>
      </c>
      <c r="AI55" s="3">
        <f>SUM(→:←!AI55)</f>
        <v>0</v>
      </c>
      <c r="AJ55" s="14">
        <f>SUM(→:←!AJ55)</f>
        <v>20.75</v>
      </c>
      <c r="AK55" s="18">
        <f>SUM(→:←!AK55)</f>
        <v>384.75</v>
      </c>
      <c r="AL55" s="24">
        <f>SUM(→:←!AL55)</f>
        <v>-264.04444588133077</v>
      </c>
      <c r="AM55" s="75">
        <f>SUM(→:←!AM55)</f>
        <v>-518.69410230553694</v>
      </c>
      <c r="AN55" s="1">
        <f t="shared" si="4"/>
        <v>-363.0858716138784</v>
      </c>
      <c r="AO55" s="1">
        <f t="shared" si="8"/>
        <v>-383.11104408918084</v>
      </c>
      <c r="AP55" s="24">
        <f t="shared" si="10"/>
        <v>-746.19691570305918</v>
      </c>
      <c r="AQ55" s="24">
        <f t="shared" si="5"/>
        <v>-182.00225071801779</v>
      </c>
      <c r="AS55" s="1">
        <f>SUM(K55:$K$70)</f>
        <v>0</v>
      </c>
      <c r="AT55" s="1">
        <f t="shared" si="6"/>
        <v>-518.69410230553694</v>
      </c>
      <c r="AV55" s="24">
        <f t="shared" si="7"/>
        <v>552.42436999999995</v>
      </c>
      <c r="AX55" s="78">
        <f t="shared" si="9"/>
        <v>662.90924399999994</v>
      </c>
      <c r="AY55" s="78" t="str">
        <f>IF($AH55&gt;0,"車,","")&amp;IF($AF55&gt;0,"リフォーム,","")&amp;IF(子1!C55=18,"大学入学,","")&amp;IF(子2!C55=18,"大学入学,","")&amp;IF(子3!C55=18,"大学入学,","")&amp;IF(子4!C55=18,"大学入学,","")</f>
        <v>リフォーム,</v>
      </c>
    </row>
    <row r="56" spans="2:51" hidden="1" outlineLevel="1" x14ac:dyDescent="0.25">
      <c r="B56" s="71">
        <f t="shared" si="11"/>
        <v>2072</v>
      </c>
      <c r="C56" s="72">
        <f t="shared" si="12"/>
        <v>74</v>
      </c>
      <c r="D56" s="73">
        <f>SUM(→:←!D56)</f>
        <v>0</v>
      </c>
      <c r="E56" s="72">
        <f>SUM(→:←!E56)</f>
        <v>0</v>
      </c>
      <c r="F56" s="72">
        <f>SUM(→:←!F56)</f>
        <v>0</v>
      </c>
      <c r="G56" s="72">
        <f>SUM(→:←!G56)</f>
        <v>0</v>
      </c>
      <c r="H56" s="72">
        <f>SUM(→:←!H56)</f>
        <v>303.73316344615387</v>
      </c>
      <c r="I56" s="74">
        <f>SUM(→:←!I56)</f>
        <v>-15.353239327484623</v>
      </c>
      <c r="J56" s="75">
        <f>SUM(→:←!J56)</f>
        <v>288.37992411866924</v>
      </c>
      <c r="K56" s="71">
        <f>SUM(→:←!K56)</f>
        <v>0</v>
      </c>
      <c r="L56" s="72">
        <f>SUM(→:←!L56)</f>
        <v>36.384974</v>
      </c>
      <c r="M56" s="72">
        <f>SUM(→:←!M56)</f>
        <v>71.280000000000015</v>
      </c>
      <c r="N56" s="72">
        <f>SUM(→:←!N56)</f>
        <v>26.400000000000002</v>
      </c>
      <c r="O56" s="72">
        <f>SUM(→:←!O56)</f>
        <v>9.9</v>
      </c>
      <c r="P56" s="72">
        <f>SUM(→:←!P56)</f>
        <v>7.9200000000000017</v>
      </c>
      <c r="Q56" s="72">
        <f>SUM(→:←!Q56)</f>
        <v>4.95</v>
      </c>
      <c r="R56" s="72">
        <f>SUM(→:←!R56)</f>
        <v>0</v>
      </c>
      <c r="S56" s="74">
        <f>SUM(→:←!S56)</f>
        <v>0</v>
      </c>
      <c r="T56" s="76">
        <f>SUM(→:←!T56)</f>
        <v>156.83497400000002</v>
      </c>
      <c r="U56" s="75">
        <f>SUM(→:←!U56)</f>
        <v>131.54495011866925</v>
      </c>
      <c r="V56" s="71">
        <f>SUM(→:←!V56)</f>
        <v>6</v>
      </c>
      <c r="W56" s="72">
        <f>SUM(→:←!W56)</f>
        <v>4.8000000000000007</v>
      </c>
      <c r="X56" s="72">
        <f>SUM(→:←!X56)</f>
        <v>0</v>
      </c>
      <c r="Y56" s="72">
        <f>SUM(→:←!Y56)</f>
        <v>0</v>
      </c>
      <c r="Z56" s="72">
        <f>SUM(→:←!Z56)</f>
        <v>0</v>
      </c>
      <c r="AA56" s="72">
        <f>SUM(→:←!AA56)</f>
        <v>0</v>
      </c>
      <c r="AB56" s="74">
        <f>SUM(→:←!AB56)</f>
        <v>0</v>
      </c>
      <c r="AC56" s="76">
        <f>SUM(→:←!AC56)</f>
        <v>10.8</v>
      </c>
      <c r="AD56" s="75">
        <f>SUM(→:←!AD56)</f>
        <v>120.74495011866924</v>
      </c>
      <c r="AE56" s="5">
        <f>SUM(→:←!AE56)</f>
        <v>48</v>
      </c>
      <c r="AF56" s="3">
        <f>SUM(→:←!AF56)</f>
        <v>0</v>
      </c>
      <c r="AG56" s="3">
        <f>SUM(→:←!AG56)</f>
        <v>3</v>
      </c>
      <c r="AH56" s="3">
        <f>SUM(→:←!AH56)</f>
        <v>0</v>
      </c>
      <c r="AI56" s="3">
        <f>SUM(→:←!AI56)</f>
        <v>0</v>
      </c>
      <c r="AJ56" s="14">
        <f>SUM(→:←!AJ56)</f>
        <v>20.75</v>
      </c>
      <c r="AK56" s="18">
        <f>SUM(→:←!AK56)</f>
        <v>71.75</v>
      </c>
      <c r="AL56" s="24">
        <f>SUM(→:←!AL56)</f>
        <v>48.994950118669237</v>
      </c>
      <c r="AM56" s="75">
        <f>SUM(→:←!AM56)</f>
        <v>-469.69915218686856</v>
      </c>
      <c r="AN56" s="1">
        <f t="shared" si="4"/>
        <v>-328.78940653080991</v>
      </c>
      <c r="AO56" s="1">
        <f t="shared" si="8"/>
        <v>-387.56811125803915</v>
      </c>
      <c r="AP56" s="24">
        <f t="shared" si="10"/>
        <v>-716.35751778884901</v>
      </c>
      <c r="AQ56" s="24">
        <f t="shared" si="5"/>
        <v>-197.32669248158436</v>
      </c>
      <c r="AS56" s="1">
        <f>SUM(K56:$K$70)</f>
        <v>0</v>
      </c>
      <c r="AT56" s="1">
        <f t="shared" si="6"/>
        <v>-469.69915218686856</v>
      </c>
      <c r="AV56" s="24">
        <f t="shared" si="7"/>
        <v>239.38497400000003</v>
      </c>
      <c r="AX56" s="78">
        <f t="shared" si="9"/>
        <v>10239.384974000001</v>
      </c>
      <c r="AY56" s="78" t="str">
        <f>IF($AH56&gt;0,"車,","")&amp;IF($AF56&gt;0,"リフォーム,","")&amp;IF(子1!C56=18,"大学入学,","")&amp;IF(子2!C56=18,"大学入学,","")&amp;IF(子3!C56=18,"大学入学,","")&amp;IF(子4!C56=18,"大学入学,","")</f>
        <v/>
      </c>
    </row>
    <row r="57" spans="2:51" hidden="1" outlineLevel="1" x14ac:dyDescent="0.25">
      <c r="B57" s="71">
        <f t="shared" si="11"/>
        <v>2073</v>
      </c>
      <c r="C57" s="72">
        <f t="shared" si="12"/>
        <v>75</v>
      </c>
      <c r="D57" s="73">
        <f>SUM(→:←!D57)</f>
        <v>0</v>
      </c>
      <c r="E57" s="72">
        <f>SUM(→:←!E57)</f>
        <v>0</v>
      </c>
      <c r="F57" s="72">
        <f>SUM(→:←!F57)</f>
        <v>0</v>
      </c>
      <c r="G57" s="72">
        <f>SUM(→:←!G57)</f>
        <v>0</v>
      </c>
      <c r="H57" s="72">
        <f>SUM(→:←!H57)</f>
        <v>303.73316344615387</v>
      </c>
      <c r="I57" s="74">
        <f>SUM(→:←!I57)</f>
        <v>-15.353239327484623</v>
      </c>
      <c r="J57" s="75">
        <f>SUM(→:←!J57)</f>
        <v>288.37992411866924</v>
      </c>
      <c r="K57" s="71">
        <f>SUM(→:←!K57)</f>
        <v>0</v>
      </c>
      <c r="L57" s="72">
        <f>SUM(→:←!L57)</f>
        <v>36.362649599999997</v>
      </c>
      <c r="M57" s="72">
        <f>SUM(→:←!M57)</f>
        <v>71.280000000000015</v>
      </c>
      <c r="N57" s="72">
        <f>SUM(→:←!N57)</f>
        <v>26.400000000000002</v>
      </c>
      <c r="O57" s="72">
        <f>SUM(→:←!O57)</f>
        <v>9.9</v>
      </c>
      <c r="P57" s="72">
        <f>SUM(→:←!P57)</f>
        <v>7.9200000000000017</v>
      </c>
      <c r="Q57" s="72">
        <f>SUM(→:←!Q57)</f>
        <v>4.95</v>
      </c>
      <c r="R57" s="72">
        <f>SUM(→:←!R57)</f>
        <v>0</v>
      </c>
      <c r="S57" s="74">
        <f>SUM(→:←!S57)</f>
        <v>0</v>
      </c>
      <c r="T57" s="76">
        <f>SUM(→:←!T57)</f>
        <v>156.81264960000001</v>
      </c>
      <c r="U57" s="75">
        <f>SUM(→:←!U57)</f>
        <v>131.56727451866925</v>
      </c>
      <c r="V57" s="71">
        <f>SUM(→:←!V57)</f>
        <v>6</v>
      </c>
      <c r="W57" s="72">
        <f>SUM(→:←!W57)</f>
        <v>4.8000000000000007</v>
      </c>
      <c r="X57" s="72">
        <f>SUM(→:←!X57)</f>
        <v>0</v>
      </c>
      <c r="Y57" s="72">
        <f>SUM(→:←!Y57)</f>
        <v>0</v>
      </c>
      <c r="Z57" s="72">
        <f>SUM(→:←!Z57)</f>
        <v>0</v>
      </c>
      <c r="AA57" s="72">
        <f>SUM(→:←!AA57)</f>
        <v>0</v>
      </c>
      <c r="AB57" s="74">
        <f>SUM(→:←!AB57)</f>
        <v>0</v>
      </c>
      <c r="AC57" s="76">
        <f>SUM(→:←!AC57)</f>
        <v>10.8</v>
      </c>
      <c r="AD57" s="75">
        <f>SUM(→:←!AD57)</f>
        <v>120.76727451866924</v>
      </c>
      <c r="AE57" s="5">
        <f>SUM(→:←!AE57)</f>
        <v>48</v>
      </c>
      <c r="AF57" s="3">
        <f>SUM(→:←!AF57)</f>
        <v>0</v>
      </c>
      <c r="AG57" s="3">
        <f>SUM(→:←!AG57)</f>
        <v>0</v>
      </c>
      <c r="AH57" s="3">
        <f>SUM(→:←!AH57)</f>
        <v>0</v>
      </c>
      <c r="AI57" s="3">
        <f>SUM(→:←!AI57)</f>
        <v>0</v>
      </c>
      <c r="AJ57" s="14">
        <f>SUM(→:←!AJ57)</f>
        <v>20.75</v>
      </c>
      <c r="AK57" s="18">
        <f>SUM(→:←!AK57)</f>
        <v>68.75</v>
      </c>
      <c r="AL57" s="24">
        <f>SUM(→:←!AL57)</f>
        <v>52.01727451866924</v>
      </c>
      <c r="AM57" s="75">
        <f>SUM(→:←!AM57)</f>
        <v>-417.68187766819665</v>
      </c>
      <c r="AN57" s="1">
        <f t="shared" si="4"/>
        <v>-292.37731436774146</v>
      </c>
      <c r="AO57" s="1">
        <f t="shared" si="8"/>
        <v>-391.34133446534037</v>
      </c>
      <c r="AP57" s="24">
        <f t="shared" si="10"/>
        <v>-683.71864883308183</v>
      </c>
      <c r="AQ57" s="24">
        <f t="shared" si="5"/>
        <v>-212.82941693190816</v>
      </c>
      <c r="AS57" s="1">
        <f>SUM(K57:$K$70)</f>
        <v>0</v>
      </c>
      <c r="AT57" s="1">
        <f t="shared" si="6"/>
        <v>-417.68187766819665</v>
      </c>
      <c r="AV57" s="24">
        <f t="shared" si="7"/>
        <v>236.36264960000003</v>
      </c>
      <c r="AX57" s="78">
        <f t="shared" si="9"/>
        <v>10236.3626496</v>
      </c>
      <c r="AY57" s="78" t="str">
        <f>IF($AH57&gt;0,"車,","")&amp;IF($AF57&gt;0,"リフォーム,","")&amp;IF(子1!C57=18,"大学入学,","")&amp;IF(子2!C57=18,"大学入学,","")&amp;IF(子3!C57=18,"大学入学,","")&amp;IF(子4!C57=18,"大学入学,","")</f>
        <v/>
      </c>
    </row>
    <row r="58" spans="2:51" hidden="1" outlineLevel="1" x14ac:dyDescent="0.25">
      <c r="B58" s="71">
        <f t="shared" si="11"/>
        <v>2074</v>
      </c>
      <c r="C58" s="72">
        <f t="shared" si="12"/>
        <v>76</v>
      </c>
      <c r="D58" s="73">
        <f>SUM(→:←!D58)</f>
        <v>0</v>
      </c>
      <c r="E58" s="72">
        <f>SUM(→:←!E58)</f>
        <v>0</v>
      </c>
      <c r="F58" s="72">
        <f>SUM(→:←!F58)</f>
        <v>0</v>
      </c>
      <c r="G58" s="72">
        <f>SUM(→:←!G58)</f>
        <v>0</v>
      </c>
      <c r="H58" s="72">
        <f>SUM(→:←!H58)</f>
        <v>303.73316344615387</v>
      </c>
      <c r="I58" s="74">
        <f>SUM(→:←!I58)</f>
        <v>-15.353239327484623</v>
      </c>
      <c r="J58" s="75">
        <f>SUM(→:←!J58)</f>
        <v>288.37992411866924</v>
      </c>
      <c r="K58" s="71">
        <f>SUM(→:←!K58)</f>
        <v>0</v>
      </c>
      <c r="L58" s="72">
        <f>SUM(→:←!L58)</f>
        <v>36.340325199999995</v>
      </c>
      <c r="M58" s="72">
        <f>SUM(→:←!M58)</f>
        <v>71.280000000000015</v>
      </c>
      <c r="N58" s="72">
        <f>SUM(→:←!N58)</f>
        <v>26.400000000000002</v>
      </c>
      <c r="O58" s="72">
        <f>SUM(→:←!O58)</f>
        <v>9.9</v>
      </c>
      <c r="P58" s="72">
        <f>SUM(→:←!P58)</f>
        <v>7.9200000000000017</v>
      </c>
      <c r="Q58" s="72">
        <f>SUM(→:←!Q58)</f>
        <v>4.95</v>
      </c>
      <c r="R58" s="72">
        <f>SUM(→:←!R58)</f>
        <v>0</v>
      </c>
      <c r="S58" s="74">
        <f>SUM(→:←!S58)</f>
        <v>0</v>
      </c>
      <c r="T58" s="76">
        <f>SUM(→:←!T58)</f>
        <v>156.79032520000001</v>
      </c>
      <c r="U58" s="75">
        <f>SUM(→:←!U58)</f>
        <v>131.58959891866925</v>
      </c>
      <c r="V58" s="71">
        <f>SUM(→:←!V58)</f>
        <v>6</v>
      </c>
      <c r="W58" s="72">
        <f>SUM(→:←!W58)</f>
        <v>4.8000000000000007</v>
      </c>
      <c r="X58" s="72">
        <f>SUM(→:←!X58)</f>
        <v>0</v>
      </c>
      <c r="Y58" s="72">
        <f>SUM(→:←!Y58)</f>
        <v>0</v>
      </c>
      <c r="Z58" s="72">
        <f>SUM(→:←!Z58)</f>
        <v>0</v>
      </c>
      <c r="AA58" s="72">
        <f>SUM(→:←!AA58)</f>
        <v>0</v>
      </c>
      <c r="AB58" s="74">
        <f>SUM(→:←!AB58)</f>
        <v>0</v>
      </c>
      <c r="AC58" s="76">
        <f>SUM(→:←!AC58)</f>
        <v>10.8</v>
      </c>
      <c r="AD58" s="75">
        <f>SUM(→:←!AD58)</f>
        <v>120.78959891866924</v>
      </c>
      <c r="AE58" s="5">
        <f>SUM(→:←!AE58)</f>
        <v>48</v>
      </c>
      <c r="AF58" s="3">
        <f>SUM(→:←!AF58)</f>
        <v>0</v>
      </c>
      <c r="AG58" s="3">
        <f>SUM(→:←!AG58)</f>
        <v>0</v>
      </c>
      <c r="AH58" s="3">
        <f>SUM(→:←!AH58)</f>
        <v>250</v>
      </c>
      <c r="AI58" s="3">
        <f>SUM(→:←!AI58)</f>
        <v>0</v>
      </c>
      <c r="AJ58" s="14">
        <f>SUM(→:←!AJ58)</f>
        <v>20.75</v>
      </c>
      <c r="AK58" s="18">
        <f>SUM(→:←!AK58)</f>
        <v>318.75</v>
      </c>
      <c r="AL58" s="24">
        <f>SUM(→:←!AL58)</f>
        <v>-197.96040108133076</v>
      </c>
      <c r="AM58" s="75">
        <f>SUM(→:←!AM58)</f>
        <v>-615.64227874952849</v>
      </c>
      <c r="AN58" s="1">
        <f t="shared" si="4"/>
        <v>-430.94959512467301</v>
      </c>
      <c r="AO58" s="1">
        <f t="shared" si="8"/>
        <v>-470.29652151300661</v>
      </c>
      <c r="AP58" s="24">
        <f t="shared" si="10"/>
        <v>-901.24611663767962</v>
      </c>
      <c r="AQ58" s="24">
        <f t="shared" si="5"/>
        <v>-228.48307031052093</v>
      </c>
      <c r="AS58" s="1">
        <f>SUM(K58:$K$70)</f>
        <v>0</v>
      </c>
      <c r="AT58" s="1">
        <f t="shared" si="6"/>
        <v>-615.64227874952849</v>
      </c>
      <c r="AV58" s="24">
        <f t="shared" si="7"/>
        <v>486.34032520000005</v>
      </c>
      <c r="AX58" s="78">
        <f t="shared" si="9"/>
        <v>583.60839024000006</v>
      </c>
      <c r="AY58" s="78" t="str">
        <f>IF($AH58&gt;0,"車,","")&amp;IF($AF58&gt;0,"リフォーム,","")&amp;IF(子1!C58=18,"大学入学,","")&amp;IF(子2!C58=18,"大学入学,","")&amp;IF(子3!C58=18,"大学入学,","")&amp;IF(子4!C58=18,"大学入学,","")</f>
        <v>車,</v>
      </c>
    </row>
    <row r="59" spans="2:51" hidden="1" outlineLevel="1" x14ac:dyDescent="0.25">
      <c r="B59" s="71">
        <f t="shared" si="11"/>
        <v>2075</v>
      </c>
      <c r="C59" s="72">
        <f t="shared" si="12"/>
        <v>77</v>
      </c>
      <c r="D59" s="73">
        <f>SUM(→:←!D59)</f>
        <v>0</v>
      </c>
      <c r="E59" s="72">
        <f>SUM(→:←!E59)</f>
        <v>0</v>
      </c>
      <c r="F59" s="72">
        <f>SUM(→:←!F59)</f>
        <v>0</v>
      </c>
      <c r="G59" s="72">
        <f>SUM(→:←!G59)</f>
        <v>0</v>
      </c>
      <c r="H59" s="72">
        <f>SUM(→:←!H59)</f>
        <v>303.73316344615387</v>
      </c>
      <c r="I59" s="74">
        <f>SUM(→:←!I59)</f>
        <v>-15.353239327484623</v>
      </c>
      <c r="J59" s="75">
        <f>SUM(→:←!J59)</f>
        <v>288.37992411866924</v>
      </c>
      <c r="K59" s="71">
        <f>SUM(→:←!K59)</f>
        <v>0</v>
      </c>
      <c r="L59" s="72">
        <f>SUM(→:←!L59)</f>
        <v>36.316687599999995</v>
      </c>
      <c r="M59" s="72">
        <f>SUM(→:←!M59)</f>
        <v>71.280000000000015</v>
      </c>
      <c r="N59" s="72">
        <f>SUM(→:←!N59)</f>
        <v>26.400000000000002</v>
      </c>
      <c r="O59" s="72">
        <f>SUM(→:←!O59)</f>
        <v>9.9</v>
      </c>
      <c r="P59" s="72">
        <f>SUM(→:←!P59)</f>
        <v>7.9200000000000017</v>
      </c>
      <c r="Q59" s="72">
        <f>SUM(→:←!Q59)</f>
        <v>4.95</v>
      </c>
      <c r="R59" s="72">
        <f>SUM(→:←!R59)</f>
        <v>0</v>
      </c>
      <c r="S59" s="74">
        <f>SUM(→:←!S59)</f>
        <v>0</v>
      </c>
      <c r="T59" s="76">
        <f>SUM(→:←!T59)</f>
        <v>156.76668760000001</v>
      </c>
      <c r="U59" s="75">
        <f>SUM(→:←!U59)</f>
        <v>131.61323651866925</v>
      </c>
      <c r="V59" s="71">
        <f>SUM(→:←!V59)</f>
        <v>6</v>
      </c>
      <c r="W59" s="72">
        <f>SUM(→:←!W59)</f>
        <v>4.8000000000000007</v>
      </c>
      <c r="X59" s="72">
        <f>SUM(→:←!X59)</f>
        <v>0</v>
      </c>
      <c r="Y59" s="72">
        <f>SUM(→:←!Y59)</f>
        <v>0</v>
      </c>
      <c r="Z59" s="72">
        <f>SUM(→:←!Z59)</f>
        <v>0</v>
      </c>
      <c r="AA59" s="72">
        <f>SUM(→:←!AA59)</f>
        <v>0</v>
      </c>
      <c r="AB59" s="74">
        <f>SUM(→:←!AB59)</f>
        <v>0</v>
      </c>
      <c r="AC59" s="76">
        <f>SUM(→:←!AC59)</f>
        <v>10.8</v>
      </c>
      <c r="AD59" s="75">
        <f>SUM(→:←!AD59)</f>
        <v>120.81323651866924</v>
      </c>
      <c r="AE59" s="5">
        <f>SUM(→:←!AE59)</f>
        <v>48</v>
      </c>
      <c r="AF59" s="3">
        <f>SUM(→:←!AF59)</f>
        <v>0</v>
      </c>
      <c r="AG59" s="3">
        <f>SUM(→:←!AG59)</f>
        <v>0</v>
      </c>
      <c r="AH59" s="3">
        <f>SUM(→:←!AH59)</f>
        <v>0</v>
      </c>
      <c r="AI59" s="3">
        <f>SUM(→:←!AI59)</f>
        <v>0</v>
      </c>
      <c r="AJ59" s="14">
        <f>SUM(→:←!AJ59)</f>
        <v>20.75</v>
      </c>
      <c r="AK59" s="18">
        <f>SUM(→:←!AK59)</f>
        <v>68.75</v>
      </c>
      <c r="AL59" s="24">
        <f>SUM(→:←!AL59)</f>
        <v>52.063236518669243</v>
      </c>
      <c r="AM59" s="75">
        <f>SUM(→:←!AM59)</f>
        <v>-563.57904223085643</v>
      </c>
      <c r="AN59" s="1">
        <f t="shared" si="4"/>
        <v>-394.50532956160453</v>
      </c>
      <c r="AO59" s="1">
        <f t="shared" si="8"/>
        <v>-478.1923766330562</v>
      </c>
      <c r="AP59" s="24">
        <f t="shared" si="10"/>
        <v>-872.69770619466067</v>
      </c>
      <c r="AQ59" s="24">
        <f t="shared" si="5"/>
        <v>-247.2949311710434</v>
      </c>
      <c r="AS59" s="1">
        <f>SUM(K59:$K$70)</f>
        <v>0</v>
      </c>
      <c r="AT59" s="1">
        <f t="shared" si="6"/>
        <v>-563.57904223085643</v>
      </c>
      <c r="AV59" s="24">
        <f t="shared" si="7"/>
        <v>236.31668760000002</v>
      </c>
      <c r="AX59" s="78">
        <f t="shared" si="9"/>
        <v>10236.3166876</v>
      </c>
      <c r="AY59" s="78" t="str">
        <f>IF($AH59&gt;0,"車,","")&amp;IF($AF59&gt;0,"リフォーム,","")&amp;IF(子1!C59=18,"大学入学,","")&amp;IF(子2!C59=18,"大学入学,","")&amp;IF(子3!C59=18,"大学入学,","")&amp;IF(子4!C59=18,"大学入学,","")</f>
        <v/>
      </c>
    </row>
    <row r="60" spans="2:51" hidden="1" outlineLevel="1" x14ac:dyDescent="0.25">
      <c r="B60" s="71">
        <f t="shared" si="11"/>
        <v>2076</v>
      </c>
      <c r="C60" s="72">
        <f t="shared" si="12"/>
        <v>78</v>
      </c>
      <c r="D60" s="73">
        <f>SUM(→:←!D60)</f>
        <v>0</v>
      </c>
      <c r="E60" s="72">
        <f>SUM(→:←!E60)</f>
        <v>0</v>
      </c>
      <c r="F60" s="72">
        <f>SUM(→:←!F60)</f>
        <v>0</v>
      </c>
      <c r="G60" s="72">
        <f>SUM(→:←!G60)</f>
        <v>0</v>
      </c>
      <c r="H60" s="72">
        <f>SUM(→:←!H60)</f>
        <v>303.73316344615387</v>
      </c>
      <c r="I60" s="74">
        <f>SUM(→:←!I60)</f>
        <v>-15.353239327484623</v>
      </c>
      <c r="J60" s="75">
        <f>SUM(→:←!J60)</f>
        <v>288.37992411866924</v>
      </c>
      <c r="K60" s="71">
        <f>SUM(→:←!K60)</f>
        <v>0</v>
      </c>
      <c r="L60" s="72">
        <f>SUM(→:←!L60)</f>
        <v>36.293049999999994</v>
      </c>
      <c r="M60" s="72">
        <f>SUM(→:←!M60)</f>
        <v>71.280000000000015</v>
      </c>
      <c r="N60" s="72">
        <f>SUM(→:←!N60)</f>
        <v>26.400000000000002</v>
      </c>
      <c r="O60" s="72">
        <f>SUM(→:←!O60)</f>
        <v>9.9</v>
      </c>
      <c r="P60" s="72">
        <f>SUM(→:←!P60)</f>
        <v>7.9200000000000017</v>
      </c>
      <c r="Q60" s="72">
        <f>SUM(→:←!Q60)</f>
        <v>4.95</v>
      </c>
      <c r="R60" s="72">
        <f>SUM(→:←!R60)</f>
        <v>0</v>
      </c>
      <c r="S60" s="74">
        <f>SUM(→:←!S60)</f>
        <v>0</v>
      </c>
      <c r="T60" s="76">
        <f>SUM(→:←!T60)</f>
        <v>156.74305000000001</v>
      </c>
      <c r="U60" s="75">
        <f>SUM(→:←!U60)</f>
        <v>131.63687411866925</v>
      </c>
      <c r="V60" s="71">
        <f>SUM(→:←!V60)</f>
        <v>6</v>
      </c>
      <c r="W60" s="72">
        <f>SUM(→:←!W60)</f>
        <v>4.8000000000000007</v>
      </c>
      <c r="X60" s="72">
        <f>SUM(→:←!X60)</f>
        <v>0</v>
      </c>
      <c r="Y60" s="72">
        <f>SUM(→:←!Y60)</f>
        <v>0</v>
      </c>
      <c r="Z60" s="72">
        <f>SUM(→:←!Z60)</f>
        <v>0</v>
      </c>
      <c r="AA60" s="72">
        <f>SUM(→:←!AA60)</f>
        <v>0</v>
      </c>
      <c r="AB60" s="74">
        <f>SUM(→:←!AB60)</f>
        <v>0</v>
      </c>
      <c r="AC60" s="76">
        <f>SUM(→:←!AC60)</f>
        <v>10.8</v>
      </c>
      <c r="AD60" s="75">
        <f>SUM(→:←!AD60)</f>
        <v>120.83687411866924</v>
      </c>
      <c r="AE60" s="5">
        <f>SUM(→:←!AE60)</f>
        <v>48</v>
      </c>
      <c r="AF60" s="3">
        <f>SUM(→:←!AF60)</f>
        <v>0</v>
      </c>
      <c r="AG60" s="3">
        <f>SUM(→:←!AG60)</f>
        <v>0</v>
      </c>
      <c r="AH60" s="3">
        <f>SUM(→:←!AH60)</f>
        <v>0</v>
      </c>
      <c r="AI60" s="3">
        <f>SUM(→:←!AI60)</f>
        <v>0</v>
      </c>
      <c r="AJ60" s="14">
        <f>SUM(→:←!AJ60)</f>
        <v>20.75</v>
      </c>
      <c r="AK60" s="18">
        <f>SUM(→:←!AK60)</f>
        <v>68.75</v>
      </c>
      <c r="AL60" s="24">
        <f>SUM(→:←!AL60)</f>
        <v>52.086874118669243</v>
      </c>
      <c r="AM60" s="75">
        <f>SUM(→:←!AM60)</f>
        <v>-511.49216811218866</v>
      </c>
      <c r="AN60" s="1">
        <f t="shared" si="4"/>
        <v>-358.04451767853607</v>
      </c>
      <c r="AO60" s="1">
        <f t="shared" si="8"/>
        <v>-486.47593322910825</v>
      </c>
      <c r="AP60" s="24">
        <f t="shared" si="10"/>
        <v>-844.52045090764432</v>
      </c>
      <c r="AQ60" s="24">
        <f t="shared" si="5"/>
        <v>-266.42262623636452</v>
      </c>
      <c r="AS60" s="1">
        <f>SUM(K60:$K$70)</f>
        <v>0</v>
      </c>
      <c r="AT60" s="1">
        <f t="shared" si="6"/>
        <v>-511.49216811218866</v>
      </c>
      <c r="AV60" s="24">
        <f t="shared" si="7"/>
        <v>236.29305000000002</v>
      </c>
      <c r="AX60" s="78">
        <f t="shared" si="9"/>
        <v>10236.29305</v>
      </c>
      <c r="AY60" s="78" t="str">
        <f>IF($AH60&gt;0,"車,","")&amp;IF($AF60&gt;0,"リフォーム,","")&amp;IF(子1!C60=18,"大学入学,","")&amp;IF(子2!C60=18,"大学入学,","")&amp;IF(子3!C60=18,"大学入学,","")&amp;IF(子4!C60=18,"大学入学,","")</f>
        <v/>
      </c>
    </row>
    <row r="61" spans="2:51" hidden="1" outlineLevel="1" x14ac:dyDescent="0.25">
      <c r="B61" s="71">
        <f t="shared" si="11"/>
        <v>2077</v>
      </c>
      <c r="C61" s="72">
        <f t="shared" si="12"/>
        <v>79</v>
      </c>
      <c r="D61" s="73">
        <f>SUM(→:←!D61)</f>
        <v>0</v>
      </c>
      <c r="E61" s="72">
        <f>SUM(→:←!E61)</f>
        <v>0</v>
      </c>
      <c r="F61" s="72">
        <f>SUM(→:←!F61)</f>
        <v>0</v>
      </c>
      <c r="G61" s="72">
        <f>SUM(→:←!G61)</f>
        <v>0</v>
      </c>
      <c r="H61" s="72">
        <f>SUM(→:←!H61)</f>
        <v>303.73316344615387</v>
      </c>
      <c r="I61" s="74">
        <f>SUM(→:←!I61)</f>
        <v>-15.353239327484623</v>
      </c>
      <c r="J61" s="75">
        <f>SUM(→:←!J61)</f>
        <v>288.37992411866924</v>
      </c>
      <c r="K61" s="71">
        <f>SUM(→:←!K61)</f>
        <v>0</v>
      </c>
      <c r="L61" s="72">
        <f>SUM(→:←!L61)</f>
        <v>36.293049999999994</v>
      </c>
      <c r="M61" s="72">
        <f>SUM(→:←!M61)</f>
        <v>71.280000000000015</v>
      </c>
      <c r="N61" s="72">
        <f>SUM(→:←!N61)</f>
        <v>26.400000000000002</v>
      </c>
      <c r="O61" s="72">
        <f>SUM(→:←!O61)</f>
        <v>9.9</v>
      </c>
      <c r="P61" s="72">
        <f>SUM(→:←!P61)</f>
        <v>7.9200000000000017</v>
      </c>
      <c r="Q61" s="72">
        <f>SUM(→:←!Q61)</f>
        <v>4.95</v>
      </c>
      <c r="R61" s="72">
        <f>SUM(→:←!R61)</f>
        <v>0</v>
      </c>
      <c r="S61" s="74">
        <f>SUM(→:←!S61)</f>
        <v>0</v>
      </c>
      <c r="T61" s="76">
        <f>SUM(→:←!T61)</f>
        <v>156.74305000000001</v>
      </c>
      <c r="U61" s="75">
        <f>SUM(→:←!U61)</f>
        <v>131.63687411866925</v>
      </c>
      <c r="V61" s="71">
        <f>SUM(→:←!V61)</f>
        <v>6</v>
      </c>
      <c r="W61" s="72">
        <f>SUM(→:←!W61)</f>
        <v>4.8000000000000007</v>
      </c>
      <c r="X61" s="72">
        <f>SUM(→:←!X61)</f>
        <v>0</v>
      </c>
      <c r="Y61" s="72">
        <f>SUM(→:←!Y61)</f>
        <v>0</v>
      </c>
      <c r="Z61" s="72">
        <f>SUM(→:←!Z61)</f>
        <v>0</v>
      </c>
      <c r="AA61" s="72">
        <f>SUM(→:←!AA61)</f>
        <v>0</v>
      </c>
      <c r="AB61" s="74">
        <f>SUM(→:←!AB61)</f>
        <v>0</v>
      </c>
      <c r="AC61" s="76">
        <f>SUM(→:←!AC61)</f>
        <v>10.8</v>
      </c>
      <c r="AD61" s="75">
        <f>SUM(→:←!AD61)</f>
        <v>120.83687411866924</v>
      </c>
      <c r="AE61" s="5">
        <f>SUM(→:←!AE61)</f>
        <v>48</v>
      </c>
      <c r="AF61" s="3">
        <f>SUM(→:←!AF61)</f>
        <v>0</v>
      </c>
      <c r="AG61" s="3">
        <f>SUM(→:←!AG61)</f>
        <v>57</v>
      </c>
      <c r="AH61" s="3">
        <f>SUM(→:←!AH61)</f>
        <v>0</v>
      </c>
      <c r="AI61" s="3">
        <f>SUM(→:←!AI61)</f>
        <v>0</v>
      </c>
      <c r="AJ61" s="14">
        <f>SUM(→:←!AJ61)</f>
        <v>20.75</v>
      </c>
      <c r="AK61" s="18">
        <f>SUM(→:←!AK61)</f>
        <v>125.75</v>
      </c>
      <c r="AL61" s="24">
        <f>SUM(→:←!AL61)</f>
        <v>-4.9131258813307568</v>
      </c>
      <c r="AM61" s="75">
        <f>SUM(→:←!AM61)</f>
        <v>-516.40529399351726</v>
      </c>
      <c r="AN61" s="1">
        <f t="shared" si="4"/>
        <v>-361.48370579546759</v>
      </c>
      <c r="AO61" s="1">
        <f t="shared" si="8"/>
        <v>-512.27366765496288</v>
      </c>
      <c r="AP61" s="24">
        <f t="shared" si="10"/>
        <v>-873.75737345043046</v>
      </c>
      <c r="AQ61" s="24">
        <f t="shared" si="5"/>
        <v>-285.88166356553057</v>
      </c>
      <c r="AS61" s="1">
        <f>SUM(K61:$K$70)</f>
        <v>0</v>
      </c>
      <c r="AT61" s="1">
        <f t="shared" si="6"/>
        <v>-516.40529399351726</v>
      </c>
      <c r="AV61" s="24">
        <f t="shared" si="7"/>
        <v>293.29304999999999</v>
      </c>
      <c r="AX61" s="78">
        <f t="shared" si="9"/>
        <v>10293.29305</v>
      </c>
      <c r="AY61" s="78" t="str">
        <f>IF($AH61&gt;0,"車,","")&amp;IF($AF61&gt;0,"リフォーム,","")&amp;IF(子1!C61=18,"大学入学,","")&amp;IF(子2!C61=18,"大学入学,","")&amp;IF(子3!C61=18,"大学入学,","")&amp;IF(子4!C61=18,"大学入学,","")</f>
        <v/>
      </c>
    </row>
    <row r="62" spans="2:51" hidden="1" outlineLevel="1" x14ac:dyDescent="0.25">
      <c r="B62" s="71">
        <f t="shared" si="11"/>
        <v>2078</v>
      </c>
      <c r="C62" s="72">
        <f t="shared" si="12"/>
        <v>80</v>
      </c>
      <c r="D62" s="73">
        <f>SUM(→:←!D62)</f>
        <v>0</v>
      </c>
      <c r="E62" s="72">
        <f>SUM(→:←!E62)</f>
        <v>0</v>
      </c>
      <c r="F62" s="72">
        <f>SUM(→:←!F62)</f>
        <v>0</v>
      </c>
      <c r="G62" s="72">
        <f>SUM(→:←!G62)</f>
        <v>0</v>
      </c>
      <c r="H62" s="72">
        <f>SUM(→:←!H62)</f>
        <v>303.73316344615387</v>
      </c>
      <c r="I62" s="74">
        <f>SUM(→:←!I62)</f>
        <v>-15.353239327484623</v>
      </c>
      <c r="J62" s="75">
        <f>SUM(→:←!J62)</f>
        <v>288.37992411866924</v>
      </c>
      <c r="K62" s="71">
        <f>SUM(→:←!K62)</f>
        <v>0</v>
      </c>
      <c r="L62" s="72">
        <f>SUM(→:←!L62)</f>
        <v>36.293049999999994</v>
      </c>
      <c r="M62" s="72">
        <f>SUM(→:←!M62)</f>
        <v>71.280000000000015</v>
      </c>
      <c r="N62" s="72">
        <f>SUM(→:←!N62)</f>
        <v>26.400000000000002</v>
      </c>
      <c r="O62" s="72">
        <f>SUM(→:←!O62)</f>
        <v>9.9</v>
      </c>
      <c r="P62" s="72">
        <f>SUM(→:←!P62)</f>
        <v>7.9200000000000017</v>
      </c>
      <c r="Q62" s="72">
        <f>SUM(→:←!Q62)</f>
        <v>4.95</v>
      </c>
      <c r="R62" s="72">
        <f>SUM(→:←!R62)</f>
        <v>0</v>
      </c>
      <c r="S62" s="74">
        <f>SUM(→:←!S62)</f>
        <v>0</v>
      </c>
      <c r="T62" s="76">
        <f>SUM(→:←!T62)</f>
        <v>156.74305000000001</v>
      </c>
      <c r="U62" s="75">
        <f>SUM(→:←!U62)</f>
        <v>131.63687411866925</v>
      </c>
      <c r="V62" s="71">
        <f>SUM(→:←!V62)</f>
        <v>6</v>
      </c>
      <c r="W62" s="72">
        <f>SUM(→:←!W62)</f>
        <v>4.8000000000000007</v>
      </c>
      <c r="X62" s="72">
        <f>SUM(→:←!X62)</f>
        <v>0</v>
      </c>
      <c r="Y62" s="72">
        <f>SUM(→:←!Y62)</f>
        <v>0</v>
      </c>
      <c r="Z62" s="72">
        <f>SUM(→:←!Z62)</f>
        <v>0</v>
      </c>
      <c r="AA62" s="72">
        <f>SUM(→:←!AA62)</f>
        <v>0</v>
      </c>
      <c r="AB62" s="74">
        <f>SUM(→:←!AB62)</f>
        <v>0</v>
      </c>
      <c r="AC62" s="76">
        <f>SUM(→:←!AC62)</f>
        <v>10.8</v>
      </c>
      <c r="AD62" s="75">
        <f>SUM(→:←!AD62)</f>
        <v>120.83687411866924</v>
      </c>
      <c r="AE62" s="5">
        <f>SUM(→:←!AE62)</f>
        <v>48</v>
      </c>
      <c r="AF62" s="3">
        <f>SUM(→:←!AF62)</f>
        <v>0</v>
      </c>
      <c r="AG62" s="3">
        <f>SUM(→:←!AG62)</f>
        <v>0</v>
      </c>
      <c r="AH62" s="3">
        <f>SUM(→:←!AH62)</f>
        <v>0</v>
      </c>
      <c r="AI62" s="3">
        <f>SUM(→:←!AI62)</f>
        <v>0</v>
      </c>
      <c r="AJ62" s="14">
        <f>SUM(→:←!AJ62)</f>
        <v>20.75</v>
      </c>
      <c r="AK62" s="18">
        <f>SUM(→:←!AK62)</f>
        <v>68.75</v>
      </c>
      <c r="AL62" s="24">
        <f>SUM(→:←!AL62)</f>
        <v>52.086874118669243</v>
      </c>
      <c r="AM62" s="75">
        <f>SUM(→:←!AM62)</f>
        <v>-464.3184198748495</v>
      </c>
      <c r="AN62" s="1">
        <f t="shared" si="4"/>
        <v>-325.02289391239913</v>
      </c>
      <c r="AO62" s="1">
        <f t="shared" si="8"/>
        <v>-522.26128880211024</v>
      </c>
      <c r="AP62" s="24">
        <f t="shared" si="10"/>
        <v>-847.28418271450937</v>
      </c>
      <c r="AQ62" s="24">
        <f t="shared" si="5"/>
        <v>-306.37261027172792</v>
      </c>
      <c r="AS62" s="1">
        <f>SUM(K62:$K$70)</f>
        <v>0</v>
      </c>
      <c r="AT62" s="1">
        <f t="shared" si="6"/>
        <v>-464.3184198748495</v>
      </c>
      <c r="AV62" s="24">
        <f t="shared" si="7"/>
        <v>236.29305000000002</v>
      </c>
      <c r="AX62" s="78">
        <f t="shared" si="9"/>
        <v>10236.29305</v>
      </c>
      <c r="AY62" s="78" t="str">
        <f>IF($AH62&gt;0,"車,","")&amp;IF($AF62&gt;0,"リフォーム,","")&amp;IF(子1!C62=18,"大学入学,","")&amp;IF(子2!C62=18,"大学入学,","")&amp;IF(子3!C62=18,"大学入学,","")&amp;IF(子4!C62=18,"大学入学,","")</f>
        <v/>
      </c>
    </row>
    <row r="63" spans="2:51" hidden="1" outlineLevel="1" x14ac:dyDescent="0.25">
      <c r="B63" s="71">
        <f t="shared" si="11"/>
        <v>2079</v>
      </c>
      <c r="C63" s="72">
        <f t="shared" si="12"/>
        <v>81</v>
      </c>
      <c r="D63" s="73">
        <f>SUM(→:←!D63)</f>
        <v>0</v>
      </c>
      <c r="E63" s="72">
        <f>SUM(→:←!E63)</f>
        <v>0</v>
      </c>
      <c r="F63" s="72">
        <f>SUM(→:←!F63)</f>
        <v>0</v>
      </c>
      <c r="G63" s="72">
        <f>SUM(→:←!G63)</f>
        <v>0</v>
      </c>
      <c r="H63" s="72">
        <f>SUM(→:←!H63)</f>
        <v>303.73316344615387</v>
      </c>
      <c r="I63" s="74">
        <f>SUM(→:←!I63)</f>
        <v>-15.353239327484623</v>
      </c>
      <c r="J63" s="75">
        <f>SUM(→:←!J63)</f>
        <v>288.37992411866924</v>
      </c>
      <c r="K63" s="71">
        <f>SUM(→:←!K63)</f>
        <v>0</v>
      </c>
      <c r="L63" s="72">
        <f>SUM(→:←!L63)</f>
        <v>36.293049999999994</v>
      </c>
      <c r="M63" s="72">
        <f>SUM(→:←!M63)</f>
        <v>71.280000000000015</v>
      </c>
      <c r="N63" s="72">
        <f>SUM(→:←!N63)</f>
        <v>26.400000000000002</v>
      </c>
      <c r="O63" s="72">
        <f>SUM(→:←!O63)</f>
        <v>9.9</v>
      </c>
      <c r="P63" s="72">
        <f>SUM(→:←!P63)</f>
        <v>7.9200000000000017</v>
      </c>
      <c r="Q63" s="72">
        <f>SUM(→:←!Q63)</f>
        <v>4.95</v>
      </c>
      <c r="R63" s="72">
        <f>SUM(→:←!R63)</f>
        <v>0</v>
      </c>
      <c r="S63" s="74">
        <f>SUM(→:←!S63)</f>
        <v>0</v>
      </c>
      <c r="T63" s="76">
        <f>SUM(→:←!T63)</f>
        <v>156.74305000000001</v>
      </c>
      <c r="U63" s="75">
        <f>SUM(→:←!U63)</f>
        <v>131.63687411866925</v>
      </c>
      <c r="V63" s="71">
        <f>SUM(→:←!V63)</f>
        <v>6</v>
      </c>
      <c r="W63" s="72">
        <f>SUM(→:←!W63)</f>
        <v>4.8000000000000007</v>
      </c>
      <c r="X63" s="72">
        <f>SUM(→:←!X63)</f>
        <v>0</v>
      </c>
      <c r="Y63" s="72">
        <f>SUM(→:←!Y63)</f>
        <v>0</v>
      </c>
      <c r="Z63" s="72">
        <f>SUM(→:←!Z63)</f>
        <v>0</v>
      </c>
      <c r="AA63" s="72">
        <f>SUM(→:←!AA63)</f>
        <v>0</v>
      </c>
      <c r="AB63" s="74">
        <f>SUM(→:←!AB63)</f>
        <v>0</v>
      </c>
      <c r="AC63" s="76">
        <f>SUM(→:←!AC63)</f>
        <v>10.8</v>
      </c>
      <c r="AD63" s="75">
        <f>SUM(→:←!AD63)</f>
        <v>120.83687411866924</v>
      </c>
      <c r="AE63" s="5">
        <f>SUM(→:←!AE63)</f>
        <v>48</v>
      </c>
      <c r="AF63" s="3">
        <f>SUM(→:←!AF63)</f>
        <v>0</v>
      </c>
      <c r="AG63" s="3">
        <f>SUM(→:←!AG63)</f>
        <v>0</v>
      </c>
      <c r="AH63" s="3">
        <f>SUM(→:←!AH63)</f>
        <v>0</v>
      </c>
      <c r="AI63" s="3">
        <f>SUM(→:←!AI63)</f>
        <v>0</v>
      </c>
      <c r="AJ63" s="14">
        <f>SUM(→:←!AJ63)</f>
        <v>20.75</v>
      </c>
      <c r="AK63" s="18">
        <f>SUM(→:←!AK63)</f>
        <v>68.75</v>
      </c>
      <c r="AL63" s="24">
        <f>SUM(→:←!AL63)</f>
        <v>52.086874118669243</v>
      </c>
      <c r="AM63" s="75">
        <f>SUM(→:←!AM63)</f>
        <v>-412.23154575617809</v>
      </c>
      <c r="AN63" s="1">
        <f t="shared" si="4"/>
        <v>-288.56208202933067</v>
      </c>
      <c r="AO63" s="1">
        <f t="shared" si="8"/>
        <v>-532.74829100661498</v>
      </c>
      <c r="AP63" s="24">
        <f t="shared" si="10"/>
        <v>-821.31037303594564</v>
      </c>
      <c r="AQ63" s="24">
        <f t="shared" si="5"/>
        <v>-327.26306182381404</v>
      </c>
      <c r="AS63" s="1">
        <f>SUM(K63:$K$70)</f>
        <v>0</v>
      </c>
      <c r="AT63" s="1">
        <f t="shared" si="6"/>
        <v>-412.23154575617809</v>
      </c>
      <c r="AV63" s="24">
        <f t="shared" si="7"/>
        <v>236.29305000000002</v>
      </c>
      <c r="AX63" s="78">
        <f t="shared" si="9"/>
        <v>10236.29305</v>
      </c>
      <c r="AY63" s="78" t="str">
        <f>IF($AH63&gt;0,"車,","")&amp;IF($AF63&gt;0,"リフォーム,","")&amp;IF(子1!C63=18,"大学入学,","")&amp;IF(子2!C63=18,"大学入学,","")&amp;IF(子3!C63=18,"大学入学,","")&amp;IF(子4!C63=18,"大学入学,","")</f>
        <v/>
      </c>
    </row>
    <row r="64" spans="2:51" hidden="1" outlineLevel="1" x14ac:dyDescent="0.25">
      <c r="B64" s="71">
        <f t="shared" si="11"/>
        <v>2080</v>
      </c>
      <c r="C64" s="72">
        <f t="shared" si="12"/>
        <v>82</v>
      </c>
      <c r="D64" s="73">
        <f>SUM(→:←!D64)</f>
        <v>0</v>
      </c>
      <c r="E64" s="72">
        <f>SUM(→:←!E64)</f>
        <v>0</v>
      </c>
      <c r="F64" s="72">
        <f>SUM(→:←!F64)</f>
        <v>0</v>
      </c>
      <c r="G64" s="72">
        <f>SUM(→:←!G64)</f>
        <v>0</v>
      </c>
      <c r="H64" s="72">
        <f>SUM(→:←!H64)</f>
        <v>303.73316344615387</v>
      </c>
      <c r="I64" s="74">
        <f>SUM(→:←!I64)</f>
        <v>-15.353239327484623</v>
      </c>
      <c r="J64" s="75">
        <f>SUM(→:←!J64)</f>
        <v>288.37992411866924</v>
      </c>
      <c r="K64" s="71">
        <f>SUM(→:←!K64)</f>
        <v>0</v>
      </c>
      <c r="L64" s="72">
        <f>SUM(→:←!L64)</f>
        <v>36.293049999999994</v>
      </c>
      <c r="M64" s="72">
        <f>SUM(→:←!M64)</f>
        <v>71.280000000000015</v>
      </c>
      <c r="N64" s="72">
        <f>SUM(→:←!N64)</f>
        <v>26.400000000000002</v>
      </c>
      <c r="O64" s="72">
        <f>SUM(→:←!O64)</f>
        <v>9.9</v>
      </c>
      <c r="P64" s="72">
        <f>SUM(→:←!P64)</f>
        <v>7.9200000000000017</v>
      </c>
      <c r="Q64" s="72">
        <f>SUM(→:←!Q64)</f>
        <v>4.95</v>
      </c>
      <c r="R64" s="72">
        <f>SUM(→:←!R64)</f>
        <v>0</v>
      </c>
      <c r="S64" s="74">
        <f>SUM(→:←!S64)</f>
        <v>0</v>
      </c>
      <c r="T64" s="76">
        <f>SUM(→:←!T64)</f>
        <v>156.74305000000001</v>
      </c>
      <c r="U64" s="75">
        <f>SUM(→:←!U64)</f>
        <v>131.63687411866925</v>
      </c>
      <c r="V64" s="71">
        <f>SUM(→:←!V64)</f>
        <v>6</v>
      </c>
      <c r="W64" s="72">
        <f>SUM(→:←!W64)</f>
        <v>4.8000000000000007</v>
      </c>
      <c r="X64" s="72">
        <f>SUM(→:←!X64)</f>
        <v>0</v>
      </c>
      <c r="Y64" s="72">
        <f>SUM(→:←!Y64)</f>
        <v>0</v>
      </c>
      <c r="Z64" s="72">
        <f>SUM(→:←!Z64)</f>
        <v>0</v>
      </c>
      <c r="AA64" s="72">
        <f>SUM(→:←!AA64)</f>
        <v>0</v>
      </c>
      <c r="AB64" s="74">
        <f>SUM(→:←!AB64)</f>
        <v>0</v>
      </c>
      <c r="AC64" s="76">
        <f>SUM(→:←!AC64)</f>
        <v>10.8</v>
      </c>
      <c r="AD64" s="75">
        <f>SUM(→:←!AD64)</f>
        <v>120.83687411866924</v>
      </c>
      <c r="AE64" s="5">
        <f>SUM(→:←!AE64)</f>
        <v>48</v>
      </c>
      <c r="AF64" s="3">
        <f>SUM(→:←!AF64)</f>
        <v>0</v>
      </c>
      <c r="AG64" s="3">
        <f>SUM(→:←!AG64)</f>
        <v>0</v>
      </c>
      <c r="AH64" s="3">
        <f>SUM(→:←!AH64)</f>
        <v>0</v>
      </c>
      <c r="AI64" s="3">
        <f>SUM(→:←!AI64)</f>
        <v>0</v>
      </c>
      <c r="AJ64" s="14">
        <f>SUM(→:←!AJ64)</f>
        <v>20.75</v>
      </c>
      <c r="AK64" s="18">
        <f>SUM(→:←!AK64)</f>
        <v>68.75</v>
      </c>
      <c r="AL64" s="24">
        <f>SUM(→:←!AL64)</f>
        <v>52.086874118669243</v>
      </c>
      <c r="AM64" s="75">
        <f>SUM(→:←!AM64)</f>
        <v>-360.14467163751033</v>
      </c>
      <c r="AN64" s="1">
        <f t="shared" si="4"/>
        <v>-252.10127014626221</v>
      </c>
      <c r="AO64" s="1">
        <f t="shared" si="8"/>
        <v>-543.75964332134492</v>
      </c>
      <c r="AP64" s="24">
        <f t="shared" si="10"/>
        <v>-795.86091346760713</v>
      </c>
      <c r="AQ64" s="24">
        <f t="shared" si="5"/>
        <v>-348.57299346407746</v>
      </c>
      <c r="AS64" s="1">
        <f>SUM(K64:$K$70)</f>
        <v>0</v>
      </c>
      <c r="AT64" s="1">
        <f t="shared" si="6"/>
        <v>-360.14467163751033</v>
      </c>
      <c r="AV64" s="24">
        <f t="shared" si="7"/>
        <v>236.29305000000002</v>
      </c>
      <c r="AX64" s="78">
        <f t="shared" si="9"/>
        <v>10236.29305</v>
      </c>
      <c r="AY64" s="78" t="str">
        <f>IF($AH64&gt;0,"車,","")&amp;IF($AF64&gt;0,"リフォーム,","")&amp;IF(子1!C64=18,"大学入学,","")&amp;IF(子2!C64=18,"大学入学,","")&amp;IF(子3!C64=18,"大学入学,","")&amp;IF(子4!C64=18,"大学入学,","")</f>
        <v/>
      </c>
    </row>
    <row r="65" spans="2:51" hidden="1" outlineLevel="1" x14ac:dyDescent="0.25">
      <c r="B65" s="71">
        <f t="shared" si="11"/>
        <v>2081</v>
      </c>
      <c r="C65" s="72">
        <f t="shared" si="12"/>
        <v>83</v>
      </c>
      <c r="D65" s="73">
        <f>SUM(→:←!D65)</f>
        <v>0</v>
      </c>
      <c r="E65" s="72">
        <f>SUM(→:←!E65)</f>
        <v>0</v>
      </c>
      <c r="F65" s="72">
        <f>SUM(→:←!F65)</f>
        <v>0</v>
      </c>
      <c r="G65" s="72">
        <f>SUM(→:←!G65)</f>
        <v>0</v>
      </c>
      <c r="H65" s="72">
        <f>SUM(→:←!H65)</f>
        <v>303.73316344615387</v>
      </c>
      <c r="I65" s="74">
        <f>SUM(→:←!I65)</f>
        <v>-15.353239327484623</v>
      </c>
      <c r="J65" s="75">
        <f>SUM(→:←!J65)</f>
        <v>288.37992411866924</v>
      </c>
      <c r="K65" s="71">
        <f>SUM(→:←!K65)</f>
        <v>0</v>
      </c>
      <c r="L65" s="72">
        <f>SUM(→:←!L65)</f>
        <v>36.293049999999994</v>
      </c>
      <c r="M65" s="72">
        <f>SUM(→:←!M65)</f>
        <v>71.280000000000015</v>
      </c>
      <c r="N65" s="72">
        <f>SUM(→:←!N65)</f>
        <v>26.400000000000002</v>
      </c>
      <c r="O65" s="72">
        <f>SUM(→:←!O65)</f>
        <v>9.9</v>
      </c>
      <c r="P65" s="72">
        <f>SUM(→:←!P65)</f>
        <v>7.9200000000000017</v>
      </c>
      <c r="Q65" s="72">
        <f>SUM(→:←!Q65)</f>
        <v>4.95</v>
      </c>
      <c r="R65" s="72">
        <f>SUM(→:←!R65)</f>
        <v>0</v>
      </c>
      <c r="S65" s="74">
        <f>SUM(→:←!S65)</f>
        <v>0</v>
      </c>
      <c r="T65" s="76">
        <f>SUM(→:←!T65)</f>
        <v>156.74305000000001</v>
      </c>
      <c r="U65" s="75">
        <f>SUM(→:←!U65)</f>
        <v>131.63687411866925</v>
      </c>
      <c r="V65" s="71">
        <f>SUM(→:←!V65)</f>
        <v>6</v>
      </c>
      <c r="W65" s="72">
        <f>SUM(→:←!W65)</f>
        <v>4.8000000000000007</v>
      </c>
      <c r="X65" s="72">
        <f>SUM(→:←!X65)</f>
        <v>0</v>
      </c>
      <c r="Y65" s="72">
        <f>SUM(→:←!Y65)</f>
        <v>0</v>
      </c>
      <c r="Z65" s="72">
        <f>SUM(→:←!Z65)</f>
        <v>0</v>
      </c>
      <c r="AA65" s="72">
        <f>SUM(→:←!AA65)</f>
        <v>0</v>
      </c>
      <c r="AB65" s="74">
        <f>SUM(→:←!AB65)</f>
        <v>0</v>
      </c>
      <c r="AC65" s="76">
        <f>SUM(→:←!AC65)</f>
        <v>10.8</v>
      </c>
      <c r="AD65" s="75">
        <f>SUM(→:←!AD65)</f>
        <v>120.83687411866924</v>
      </c>
      <c r="AE65" s="5">
        <f>SUM(→:←!AE65)</f>
        <v>48</v>
      </c>
      <c r="AF65" s="3">
        <f>SUM(→:←!AF65)</f>
        <v>0</v>
      </c>
      <c r="AG65" s="3">
        <f>SUM(→:←!AG65)</f>
        <v>0</v>
      </c>
      <c r="AH65" s="3">
        <f>SUM(→:←!AH65)</f>
        <v>250</v>
      </c>
      <c r="AI65" s="3">
        <f>SUM(→:←!AI65)</f>
        <v>0</v>
      </c>
      <c r="AJ65" s="14">
        <f>SUM(→:←!AJ65)</f>
        <v>20.75</v>
      </c>
      <c r="AK65" s="18">
        <f>SUM(→:←!AK65)</f>
        <v>318.75</v>
      </c>
      <c r="AL65" s="24">
        <f>SUM(→:←!AL65)</f>
        <v>-197.91312588133076</v>
      </c>
      <c r="AM65" s="75">
        <f>SUM(→:←!AM65)</f>
        <v>-558.05779751883892</v>
      </c>
      <c r="AN65" s="1">
        <f t="shared" si="4"/>
        <v>-390.64045826319375</v>
      </c>
      <c r="AO65" s="1">
        <f t="shared" si="8"/>
        <v>-630.32156325181143</v>
      </c>
      <c r="AP65" s="24">
        <f t="shared" si="10"/>
        <v>-1020.9620215150052</v>
      </c>
      <c r="AQ65" s="24">
        <f t="shared" si="5"/>
        <v>-370.32337919693305</v>
      </c>
      <c r="AS65" s="1">
        <f>SUM(K65:$K$70)</f>
        <v>0</v>
      </c>
      <c r="AT65" s="1">
        <f t="shared" si="6"/>
        <v>-558.05779751883892</v>
      </c>
      <c r="AV65" s="24">
        <f t="shared" si="7"/>
        <v>486.29304999999999</v>
      </c>
      <c r="AX65" s="78">
        <f t="shared" si="9"/>
        <v>583.55165999999997</v>
      </c>
      <c r="AY65" s="78" t="str">
        <f>IF($AH65&gt;0,"車,","")&amp;IF($AF65&gt;0,"リフォーム,","")&amp;IF(子1!C65=18,"大学入学,","")&amp;IF(子2!C65=18,"大学入学,","")&amp;IF(子3!C65=18,"大学入学,","")&amp;IF(子4!C65=18,"大学入学,","")</f>
        <v>車,</v>
      </c>
    </row>
    <row r="66" spans="2:51" hidden="1" outlineLevel="1" x14ac:dyDescent="0.25">
      <c r="B66" s="71">
        <f t="shared" si="11"/>
        <v>2082</v>
      </c>
      <c r="C66" s="72">
        <f t="shared" si="12"/>
        <v>84</v>
      </c>
      <c r="D66" s="73">
        <f>SUM(→:←!D66)</f>
        <v>0</v>
      </c>
      <c r="E66" s="72">
        <f>SUM(→:←!E66)</f>
        <v>0</v>
      </c>
      <c r="F66" s="72">
        <f>SUM(→:←!F66)</f>
        <v>0</v>
      </c>
      <c r="G66" s="72">
        <f>SUM(→:←!G66)</f>
        <v>0</v>
      </c>
      <c r="H66" s="72">
        <f>SUM(→:←!H66)</f>
        <v>303.73316344615387</v>
      </c>
      <c r="I66" s="74">
        <f>SUM(→:←!I66)</f>
        <v>-15.353239327484623</v>
      </c>
      <c r="J66" s="75">
        <f>SUM(→:←!J66)</f>
        <v>288.37992411866924</v>
      </c>
      <c r="K66" s="71">
        <f>SUM(→:←!K66)</f>
        <v>0</v>
      </c>
      <c r="L66" s="72">
        <f>SUM(→:←!L66)</f>
        <v>36.293049999999994</v>
      </c>
      <c r="M66" s="72">
        <f>SUM(→:←!M66)</f>
        <v>71.280000000000015</v>
      </c>
      <c r="N66" s="72">
        <f>SUM(→:←!N66)</f>
        <v>26.400000000000002</v>
      </c>
      <c r="O66" s="72">
        <f>SUM(→:←!O66)</f>
        <v>9.9</v>
      </c>
      <c r="P66" s="72">
        <f>SUM(→:←!P66)</f>
        <v>7.9200000000000017</v>
      </c>
      <c r="Q66" s="72">
        <f>SUM(→:←!Q66)</f>
        <v>4.95</v>
      </c>
      <c r="R66" s="72">
        <f>SUM(→:←!R66)</f>
        <v>0</v>
      </c>
      <c r="S66" s="74">
        <f>SUM(→:←!S66)</f>
        <v>0</v>
      </c>
      <c r="T66" s="76">
        <f>SUM(→:←!T66)</f>
        <v>156.74305000000001</v>
      </c>
      <c r="U66" s="75">
        <f>SUM(→:←!U66)</f>
        <v>131.63687411866925</v>
      </c>
      <c r="V66" s="71">
        <f>SUM(→:←!V66)</f>
        <v>6</v>
      </c>
      <c r="W66" s="72">
        <f>SUM(→:←!W66)</f>
        <v>4.8000000000000007</v>
      </c>
      <c r="X66" s="72">
        <f>SUM(→:←!X66)</f>
        <v>0</v>
      </c>
      <c r="Y66" s="72">
        <f>SUM(→:←!Y66)</f>
        <v>0</v>
      </c>
      <c r="Z66" s="72">
        <f>SUM(→:←!Z66)</f>
        <v>0</v>
      </c>
      <c r="AA66" s="72">
        <f>SUM(→:←!AA66)</f>
        <v>0</v>
      </c>
      <c r="AB66" s="74">
        <f>SUM(→:←!AB66)</f>
        <v>0</v>
      </c>
      <c r="AC66" s="76">
        <f>SUM(→:←!AC66)</f>
        <v>10.8</v>
      </c>
      <c r="AD66" s="75">
        <f>SUM(→:←!AD66)</f>
        <v>120.83687411866924</v>
      </c>
      <c r="AE66" s="5">
        <f>SUM(→:←!AE66)</f>
        <v>48</v>
      </c>
      <c r="AF66" s="3">
        <f>SUM(→:←!AF66)</f>
        <v>0</v>
      </c>
      <c r="AG66" s="3">
        <f>SUM(→:←!AG66)</f>
        <v>3</v>
      </c>
      <c r="AH66" s="3">
        <f>SUM(→:←!AH66)</f>
        <v>0</v>
      </c>
      <c r="AI66" s="3">
        <f>SUM(→:←!AI66)</f>
        <v>0</v>
      </c>
      <c r="AJ66" s="14">
        <f>SUM(→:←!AJ66)</f>
        <v>20.75</v>
      </c>
      <c r="AK66" s="18">
        <f>SUM(→:←!AK66)</f>
        <v>71.75</v>
      </c>
      <c r="AL66" s="24">
        <f>SUM(→:←!AL66)</f>
        <v>49.086874118669243</v>
      </c>
      <c r="AM66" s="75">
        <f>SUM(→:←!AM66)</f>
        <v>-508.97092340017116</v>
      </c>
      <c r="AN66" s="1">
        <f t="shared" si="4"/>
        <v>-356.27964638012531</v>
      </c>
      <c r="AO66" s="1">
        <f t="shared" si="8"/>
        <v>-647.11157917880121</v>
      </c>
      <c r="AP66" s="24">
        <f t="shared" si="10"/>
        <v>-1003.3912255589265</v>
      </c>
      <c r="AQ66" s="24">
        <f t="shared" si="5"/>
        <v>-395.53624172700432</v>
      </c>
      <c r="AS66" s="1">
        <f>SUM(K66:$K$70)</f>
        <v>0</v>
      </c>
      <c r="AT66" s="1">
        <f t="shared" si="6"/>
        <v>-508.97092340017116</v>
      </c>
      <c r="AV66" s="24">
        <f t="shared" si="7"/>
        <v>239.29305000000002</v>
      </c>
      <c r="AX66" s="78">
        <f t="shared" si="9"/>
        <v>10239.29305</v>
      </c>
      <c r="AY66" s="78" t="str">
        <f>IF($AH66&gt;0,"車,","")&amp;IF($AF66&gt;0,"リフォーム,","")&amp;IF(子1!C66=18,"大学入学,","")&amp;IF(子2!C66=18,"大学入学,","")&amp;IF(子3!C66=18,"大学入学,","")&amp;IF(子4!C66=18,"大学入学,","")</f>
        <v/>
      </c>
    </row>
    <row r="67" spans="2:51" hidden="1" outlineLevel="1" x14ac:dyDescent="0.25">
      <c r="B67" s="71">
        <f t="shared" si="11"/>
        <v>2083</v>
      </c>
      <c r="C67" s="72">
        <f t="shared" si="12"/>
        <v>85</v>
      </c>
      <c r="D67" s="73">
        <f>SUM(→:←!D67)</f>
        <v>0</v>
      </c>
      <c r="E67" s="72">
        <f>SUM(→:←!E67)</f>
        <v>0</v>
      </c>
      <c r="F67" s="72">
        <f>SUM(→:←!F67)</f>
        <v>0</v>
      </c>
      <c r="G67" s="72">
        <f>SUM(→:←!G67)</f>
        <v>0</v>
      </c>
      <c r="H67" s="72">
        <f>SUM(→:←!H67)</f>
        <v>303.73316344615387</v>
      </c>
      <c r="I67" s="74">
        <f>SUM(→:←!I67)</f>
        <v>-15.353239327484623</v>
      </c>
      <c r="J67" s="75">
        <f>SUM(→:←!J67)</f>
        <v>288.37992411866924</v>
      </c>
      <c r="K67" s="71">
        <f>SUM(→:←!K67)</f>
        <v>0</v>
      </c>
      <c r="L67" s="72">
        <f>SUM(→:←!L67)</f>
        <v>36.293049999999994</v>
      </c>
      <c r="M67" s="72">
        <f>SUM(→:←!M67)</f>
        <v>71.280000000000015</v>
      </c>
      <c r="N67" s="72">
        <f>SUM(→:←!N67)</f>
        <v>26.400000000000002</v>
      </c>
      <c r="O67" s="72">
        <f>SUM(→:←!O67)</f>
        <v>9.9</v>
      </c>
      <c r="P67" s="72">
        <f>SUM(→:←!P67)</f>
        <v>7.9200000000000017</v>
      </c>
      <c r="Q67" s="72">
        <f>SUM(→:←!Q67)</f>
        <v>4.95</v>
      </c>
      <c r="R67" s="72">
        <f>SUM(→:←!R67)</f>
        <v>0</v>
      </c>
      <c r="S67" s="74">
        <f>SUM(→:←!S67)</f>
        <v>0</v>
      </c>
      <c r="T67" s="76">
        <f>SUM(→:←!T67)</f>
        <v>156.74305000000001</v>
      </c>
      <c r="U67" s="75">
        <f>SUM(→:←!U67)</f>
        <v>131.63687411866925</v>
      </c>
      <c r="V67" s="71">
        <f>SUM(→:←!V67)</f>
        <v>6</v>
      </c>
      <c r="W67" s="72">
        <f>SUM(→:←!W67)</f>
        <v>4.8000000000000007</v>
      </c>
      <c r="X67" s="72">
        <f>SUM(→:←!X67)</f>
        <v>0</v>
      </c>
      <c r="Y67" s="72">
        <f>SUM(→:←!Y67)</f>
        <v>0</v>
      </c>
      <c r="Z67" s="72">
        <f>SUM(→:←!Z67)</f>
        <v>0</v>
      </c>
      <c r="AA67" s="72">
        <f>SUM(→:←!AA67)</f>
        <v>0</v>
      </c>
      <c r="AB67" s="74">
        <f>SUM(→:←!AB67)</f>
        <v>0</v>
      </c>
      <c r="AC67" s="76">
        <f>SUM(→:←!AC67)</f>
        <v>10.8</v>
      </c>
      <c r="AD67" s="75">
        <f>SUM(→:←!AD67)</f>
        <v>120.83687411866924</v>
      </c>
      <c r="AE67" s="5">
        <f>SUM(→:←!AE67)</f>
        <v>48</v>
      </c>
      <c r="AF67" s="3">
        <f>SUM(→:←!AF67)</f>
        <v>0</v>
      </c>
      <c r="AG67" s="3">
        <f>SUM(→:←!AG67)</f>
        <v>0</v>
      </c>
      <c r="AH67" s="3">
        <f>SUM(→:←!AH67)</f>
        <v>0</v>
      </c>
      <c r="AI67" s="3">
        <f>SUM(→:←!AI67)</f>
        <v>0</v>
      </c>
      <c r="AJ67" s="14">
        <f>SUM(→:←!AJ67)</f>
        <v>20.75</v>
      </c>
      <c r="AK67" s="18">
        <f>SUM(→:←!AK67)</f>
        <v>68.75</v>
      </c>
      <c r="AL67" s="24">
        <f>SUM(→:←!AL67)</f>
        <v>52.086874118669243</v>
      </c>
      <c r="AM67" s="75">
        <f>SUM(→:←!AM67)</f>
        <v>-456.88404928149976</v>
      </c>
      <c r="AN67" s="1">
        <f t="shared" si="4"/>
        <v>-319.81883449705686</v>
      </c>
      <c r="AO67" s="1">
        <f t="shared" si="8"/>
        <v>-663.84109590214052</v>
      </c>
      <c r="AP67" s="24">
        <f t="shared" si="10"/>
        <v>-983.65993039919738</v>
      </c>
      <c r="AQ67" s="24">
        <f t="shared" si="5"/>
        <v>-421.42070489415812</v>
      </c>
      <c r="AS67" s="1">
        <f>SUM(K67:$K$70)</f>
        <v>0</v>
      </c>
      <c r="AT67" s="1">
        <f t="shared" si="6"/>
        <v>-456.88404928149976</v>
      </c>
      <c r="AV67" s="24">
        <f t="shared" si="7"/>
        <v>236.29305000000002</v>
      </c>
      <c r="AX67" s="78">
        <f t="shared" si="9"/>
        <v>10236.29305</v>
      </c>
      <c r="AY67" s="78" t="str">
        <f>IF($AH67&gt;0,"車,","")&amp;IF($AF67&gt;0,"リフォーム,","")&amp;IF(子1!C67=18,"大学入学,","")&amp;IF(子2!C67=18,"大学入学,","")&amp;IF(子3!C67=18,"大学入学,","")&amp;IF(子4!C67=18,"大学入学,","")</f>
        <v/>
      </c>
    </row>
    <row r="68" spans="2:51" hidden="1" outlineLevel="1" x14ac:dyDescent="0.25">
      <c r="B68" s="71">
        <f t="shared" si="11"/>
        <v>2084</v>
      </c>
      <c r="C68" s="72">
        <f t="shared" si="12"/>
        <v>86</v>
      </c>
      <c r="D68" s="73">
        <f>SUM(→:←!D68)</f>
        <v>0</v>
      </c>
      <c r="E68" s="72">
        <f>SUM(→:←!E68)</f>
        <v>0</v>
      </c>
      <c r="F68" s="72">
        <f>SUM(→:←!F68)</f>
        <v>0</v>
      </c>
      <c r="G68" s="72">
        <f>SUM(→:←!G68)</f>
        <v>0</v>
      </c>
      <c r="H68" s="72">
        <f>SUM(→:←!H68)</f>
        <v>303.73316344615387</v>
      </c>
      <c r="I68" s="74">
        <f>SUM(→:←!I68)</f>
        <v>-15.353239327484623</v>
      </c>
      <c r="J68" s="75">
        <f>SUM(→:←!J68)</f>
        <v>288.37992411866924</v>
      </c>
      <c r="K68" s="71">
        <f>SUM(→:←!K68)</f>
        <v>0</v>
      </c>
      <c r="L68" s="72">
        <f>SUM(→:←!L68)</f>
        <v>36.293049999999994</v>
      </c>
      <c r="M68" s="72">
        <f>SUM(→:←!M68)</f>
        <v>71.280000000000015</v>
      </c>
      <c r="N68" s="72">
        <f>SUM(→:←!N68)</f>
        <v>26.400000000000002</v>
      </c>
      <c r="O68" s="72">
        <f>SUM(→:←!O68)</f>
        <v>9.9</v>
      </c>
      <c r="P68" s="72">
        <f>SUM(→:←!P68)</f>
        <v>7.9200000000000017</v>
      </c>
      <c r="Q68" s="72">
        <f>SUM(→:←!Q68)</f>
        <v>4.95</v>
      </c>
      <c r="R68" s="72">
        <f>SUM(→:←!R68)</f>
        <v>0</v>
      </c>
      <c r="S68" s="74">
        <f>SUM(→:←!S68)</f>
        <v>0</v>
      </c>
      <c r="T68" s="76">
        <f>SUM(→:←!T68)</f>
        <v>156.74305000000001</v>
      </c>
      <c r="U68" s="75">
        <f>SUM(→:←!U68)</f>
        <v>131.63687411866925</v>
      </c>
      <c r="V68" s="71">
        <f>SUM(→:←!V68)</f>
        <v>6</v>
      </c>
      <c r="W68" s="72">
        <f>SUM(→:←!W68)</f>
        <v>4.8000000000000007</v>
      </c>
      <c r="X68" s="72">
        <f>SUM(→:←!X68)</f>
        <v>0</v>
      </c>
      <c r="Y68" s="72">
        <f>SUM(→:←!Y68)</f>
        <v>0</v>
      </c>
      <c r="Z68" s="72">
        <f>SUM(→:←!Z68)</f>
        <v>0</v>
      </c>
      <c r="AA68" s="72">
        <f>SUM(→:←!AA68)</f>
        <v>0</v>
      </c>
      <c r="AB68" s="74">
        <f>SUM(→:←!AB68)</f>
        <v>0</v>
      </c>
      <c r="AC68" s="76">
        <f>SUM(→:←!AC68)</f>
        <v>10.8</v>
      </c>
      <c r="AD68" s="75">
        <f>SUM(→:←!AD68)</f>
        <v>120.83687411866924</v>
      </c>
      <c r="AE68" s="5">
        <f>SUM(→:←!AE68)</f>
        <v>48</v>
      </c>
      <c r="AF68" s="3">
        <f>SUM(→:←!AF68)</f>
        <v>0</v>
      </c>
      <c r="AG68" s="3">
        <f>SUM(→:←!AG68)</f>
        <v>0</v>
      </c>
      <c r="AH68" s="3">
        <f>SUM(→:←!AH68)</f>
        <v>0</v>
      </c>
      <c r="AI68" s="3">
        <f>SUM(→:←!AI68)</f>
        <v>0</v>
      </c>
      <c r="AJ68" s="14">
        <f>SUM(→:←!AJ68)</f>
        <v>20.75</v>
      </c>
      <c r="AK68" s="18">
        <f>SUM(→:←!AK68)</f>
        <v>68.75</v>
      </c>
      <c r="AL68" s="24">
        <f>SUM(→:←!AL68)</f>
        <v>52.086874118669243</v>
      </c>
      <c r="AM68" s="75">
        <f>SUM(→:←!AM68)</f>
        <v>-404.79717516283199</v>
      </c>
      <c r="AN68" s="1">
        <f t="shared" si="4"/>
        <v>-283.3580226139884</v>
      </c>
      <c r="AO68" s="1">
        <f t="shared" si="8"/>
        <v>-681.40708846164682</v>
      </c>
      <c r="AP68" s="24">
        <f t="shared" si="10"/>
        <v>-964.76511107563522</v>
      </c>
      <c r="AQ68" s="24">
        <f t="shared" si="5"/>
        <v>-447.97434873024258</v>
      </c>
      <c r="AS68" s="1">
        <f>SUM(K68:$K$70)</f>
        <v>0</v>
      </c>
      <c r="AT68" s="1">
        <f t="shared" si="6"/>
        <v>-404.79717516283199</v>
      </c>
      <c r="AV68" s="24">
        <f t="shared" si="7"/>
        <v>236.29305000000002</v>
      </c>
      <c r="AX68" s="78">
        <f t="shared" si="9"/>
        <v>10236.29305</v>
      </c>
      <c r="AY68" s="78" t="str">
        <f>IF($AH68&gt;0,"車,","")&amp;IF($AF68&gt;0,"リフォーム,","")&amp;IF(子1!C68=18,"大学入学,","")&amp;IF(子2!C68=18,"大学入学,","")&amp;IF(子3!C68=18,"大学入学,","")&amp;IF(子4!C68=18,"大学入学,","")</f>
        <v/>
      </c>
    </row>
    <row r="69" spans="2:51" collapsed="1" x14ac:dyDescent="0.25">
      <c r="B69" s="71">
        <f t="shared" si="11"/>
        <v>2085</v>
      </c>
      <c r="C69" s="72">
        <f t="shared" si="12"/>
        <v>87</v>
      </c>
      <c r="D69" s="73">
        <f>SUM(→:←!D69)</f>
        <v>0</v>
      </c>
      <c r="E69" s="72">
        <f>SUM(→:←!E69)</f>
        <v>0</v>
      </c>
      <c r="F69" s="72">
        <f>SUM(→:←!F69)</f>
        <v>0</v>
      </c>
      <c r="G69" s="72">
        <f>SUM(→:←!G69)</f>
        <v>0</v>
      </c>
      <c r="H69" s="72">
        <f>SUM(→:←!H69)</f>
        <v>303.73316344615387</v>
      </c>
      <c r="I69" s="74">
        <f>SUM(→:←!I69)</f>
        <v>-15.353239327484623</v>
      </c>
      <c r="J69" s="75">
        <f>SUM(→:←!J69)</f>
        <v>288.37992411866924</v>
      </c>
      <c r="K69" s="71">
        <f>SUM(→:←!K69)</f>
        <v>0</v>
      </c>
      <c r="L69" s="72">
        <f>SUM(→:←!L69)</f>
        <v>36.293049999999994</v>
      </c>
      <c r="M69" s="72">
        <f>SUM(→:←!M69)</f>
        <v>71.280000000000015</v>
      </c>
      <c r="N69" s="72">
        <f>SUM(→:←!N69)</f>
        <v>26.400000000000002</v>
      </c>
      <c r="O69" s="72">
        <f>SUM(→:←!O69)</f>
        <v>9.9</v>
      </c>
      <c r="P69" s="72">
        <f>SUM(→:←!P69)</f>
        <v>7.9200000000000017</v>
      </c>
      <c r="Q69" s="72">
        <f>SUM(→:←!Q69)</f>
        <v>4.95</v>
      </c>
      <c r="R69" s="72">
        <f>SUM(→:←!R69)</f>
        <v>0</v>
      </c>
      <c r="S69" s="74">
        <f>SUM(→:←!S69)</f>
        <v>0</v>
      </c>
      <c r="T69" s="76">
        <f>SUM(→:←!T69)</f>
        <v>156.74305000000001</v>
      </c>
      <c r="U69" s="75">
        <f>SUM(→:←!U69)</f>
        <v>131.63687411866925</v>
      </c>
      <c r="V69" s="71">
        <f>SUM(→:←!V69)</f>
        <v>6</v>
      </c>
      <c r="W69" s="72">
        <f>SUM(→:←!W69)</f>
        <v>4.8000000000000007</v>
      </c>
      <c r="X69" s="72">
        <f>SUM(→:←!X69)</f>
        <v>0</v>
      </c>
      <c r="Y69" s="72">
        <f>SUM(→:←!Y69)</f>
        <v>0</v>
      </c>
      <c r="Z69" s="72">
        <f>SUM(→:←!Z69)</f>
        <v>0</v>
      </c>
      <c r="AA69" s="72">
        <f>SUM(→:←!AA69)</f>
        <v>0</v>
      </c>
      <c r="AB69" s="72">
        <f>SUM(→:←!AB69)</f>
        <v>0</v>
      </c>
      <c r="AC69" s="79">
        <f>SUM(→:←!AC69)</f>
        <v>10.8</v>
      </c>
      <c r="AD69" s="75">
        <f>SUM(→:←!AD69)</f>
        <v>120.83687411866924</v>
      </c>
      <c r="AE69" s="5">
        <f>SUM(→:←!AE69)</f>
        <v>48</v>
      </c>
      <c r="AF69" s="3">
        <f>SUM(→:←!AF69)</f>
        <v>0</v>
      </c>
      <c r="AG69" s="3">
        <f>SUM(→:←!AG69)</f>
        <v>0</v>
      </c>
      <c r="AH69" s="3">
        <f>SUM(→:←!AH69)</f>
        <v>0</v>
      </c>
      <c r="AI69" s="3">
        <f>SUM(→:←!AI69)</f>
        <v>0</v>
      </c>
      <c r="AJ69" s="14">
        <f>SUM(→:←!AJ69)</f>
        <v>20.75</v>
      </c>
      <c r="AK69" s="18">
        <f>SUM(→:←!AK69)</f>
        <v>68.75</v>
      </c>
      <c r="AL69" s="24">
        <f>SUM(→:←!AL69)</f>
        <v>52.086874118669243</v>
      </c>
      <c r="AM69" s="75">
        <f>SUM(→:←!AM69)</f>
        <v>-352.71030104416059</v>
      </c>
      <c r="AN69" s="1">
        <f t="shared" si="4"/>
        <v>-246.89721073091994</v>
      </c>
      <c r="AO69" s="1">
        <f t="shared" si="8"/>
        <v>-699.85138064912837</v>
      </c>
      <c r="AP69" s="24">
        <f t="shared" ref="AP69:AP70" si="13">SUM(AN69:AO69)</f>
        <v>-946.74859138004831</v>
      </c>
      <c r="AQ69" s="24">
        <f t="shared" si="5"/>
        <v>-475.23063226871022</v>
      </c>
      <c r="AS69" s="1">
        <f>SUM(K69:$K$70)</f>
        <v>0</v>
      </c>
      <c r="AT69" s="1">
        <f t="shared" si="6"/>
        <v>-352.71030104416059</v>
      </c>
      <c r="AV69" s="24">
        <f t="shared" si="7"/>
        <v>236.29305000000002</v>
      </c>
      <c r="AX69" s="78">
        <f t="shared" si="9"/>
        <v>10236.29305</v>
      </c>
      <c r="AY69" s="78" t="str">
        <f>IF($AH69&gt;0,"車,","")&amp;IF($AF69&gt;0,"リフォーム,","")&amp;IF(子1!C69=18,"大学入学,","")&amp;IF(子2!C69=18,"大学入学,","")&amp;IF(子3!C69=18,"大学入学,","")&amp;IF(子4!C69=18,"大学入学,","")</f>
        <v/>
      </c>
    </row>
    <row r="70" spans="2:51" x14ac:dyDescent="0.25">
      <c r="B70" s="71">
        <f t="shared" si="11"/>
        <v>2086</v>
      </c>
      <c r="C70" s="72">
        <f t="shared" si="12"/>
        <v>88</v>
      </c>
      <c r="D70" s="73">
        <f>SUM(→:←!D70)</f>
        <v>0</v>
      </c>
      <c r="E70" s="72">
        <f>SUM(→:←!E70)</f>
        <v>0</v>
      </c>
      <c r="F70" s="72">
        <f>SUM(→:←!F70)</f>
        <v>0</v>
      </c>
      <c r="G70" s="72">
        <f>SUM(→:←!G70)</f>
        <v>0</v>
      </c>
      <c r="H70" s="72">
        <f>SUM(→:←!H70)</f>
        <v>303.73316344615387</v>
      </c>
      <c r="I70" s="74">
        <f>SUM(→:←!I70)</f>
        <v>-15.353239327484623</v>
      </c>
      <c r="J70" s="75">
        <f>SUM(→:←!J70)</f>
        <v>288.37992411866924</v>
      </c>
      <c r="K70" s="71">
        <f>SUM(→:←!K70)</f>
        <v>0</v>
      </c>
      <c r="L70" s="72">
        <f>SUM(→:←!L70)</f>
        <v>36.293049999999994</v>
      </c>
      <c r="M70" s="72">
        <f>SUM(→:←!M70)</f>
        <v>71.280000000000015</v>
      </c>
      <c r="N70" s="72">
        <f>SUM(→:←!N70)</f>
        <v>26.400000000000002</v>
      </c>
      <c r="O70" s="72">
        <f>SUM(→:←!O70)</f>
        <v>9.9</v>
      </c>
      <c r="P70" s="72">
        <f>SUM(→:←!P70)</f>
        <v>7.9200000000000017</v>
      </c>
      <c r="Q70" s="72">
        <f>SUM(→:←!Q70)</f>
        <v>4.95</v>
      </c>
      <c r="R70" s="72">
        <f>SUM(→:←!R70)</f>
        <v>0</v>
      </c>
      <c r="S70" s="74">
        <f>SUM(→:←!S70)</f>
        <v>0</v>
      </c>
      <c r="T70" s="76">
        <f>SUM(→:←!T70)</f>
        <v>156.74305000000001</v>
      </c>
      <c r="U70" s="75">
        <f>SUM(→:←!U70)</f>
        <v>131.63687411866925</v>
      </c>
      <c r="V70" s="71">
        <f>SUM(→:←!V70)</f>
        <v>6</v>
      </c>
      <c r="W70" s="72">
        <f>SUM(→:←!W70)</f>
        <v>4.8000000000000007</v>
      </c>
      <c r="X70" s="72">
        <f>SUM(→:←!X70)</f>
        <v>0</v>
      </c>
      <c r="Y70" s="72">
        <f>SUM(→:←!Y70)</f>
        <v>0</v>
      </c>
      <c r="Z70" s="72">
        <f>SUM(→:←!Z70)</f>
        <v>0</v>
      </c>
      <c r="AA70" s="72">
        <f>SUM(→:←!AA70)</f>
        <v>0</v>
      </c>
      <c r="AB70" s="72">
        <f>SUM(→:←!AB70)</f>
        <v>0</v>
      </c>
      <c r="AC70" s="79">
        <f>SUM(→:←!AC70)</f>
        <v>10.8</v>
      </c>
      <c r="AD70" s="75">
        <f>SUM(→:←!AD70)</f>
        <v>120.83687411866924</v>
      </c>
      <c r="AE70" s="5">
        <f>SUM(→:←!AE70)</f>
        <v>48</v>
      </c>
      <c r="AF70" s="3">
        <f>SUM(→:←!AF70)</f>
        <v>0</v>
      </c>
      <c r="AG70" s="3">
        <f>SUM(→:←!AG70)</f>
        <v>0</v>
      </c>
      <c r="AH70" s="3">
        <f>SUM(→:←!AH70)</f>
        <v>0</v>
      </c>
      <c r="AI70" s="3">
        <f>SUM(→:←!AI70)</f>
        <v>0</v>
      </c>
      <c r="AJ70" s="14">
        <f>SUM(→:←!AJ70)</f>
        <v>20.75</v>
      </c>
      <c r="AK70" s="18">
        <f>SUM(→:←!AK70)</f>
        <v>68.75</v>
      </c>
      <c r="AL70" s="24">
        <f>SUM(→:←!AL70)</f>
        <v>52.086874118669243</v>
      </c>
      <c r="AM70" s="193">
        <f>SUM(→:←!AM70)</f>
        <v>-300.62342692549282</v>
      </c>
      <c r="AN70" s="194">
        <f t="shared" si="4"/>
        <v>-210.43639884785148</v>
      </c>
      <c r="AO70" s="195">
        <f t="shared" si="8"/>
        <v>-719.21788744598405</v>
      </c>
      <c r="AP70" s="196">
        <f t="shared" si="13"/>
        <v>-929.65428629383553</v>
      </c>
      <c r="AQ70" s="196">
        <f t="shared" si="5"/>
        <v>-503.22468749467419</v>
      </c>
      <c r="AS70" s="195">
        <f>SUM(K70:$K$70)</f>
        <v>0</v>
      </c>
      <c r="AT70" s="195">
        <f t="shared" si="6"/>
        <v>-300.62342692549282</v>
      </c>
      <c r="AV70" s="24">
        <f t="shared" si="7"/>
        <v>236.29305000000002</v>
      </c>
      <c r="AX70" s="78">
        <f t="shared" si="9"/>
        <v>10236.29305</v>
      </c>
      <c r="AY70" s="78" t="str">
        <f>IF($AH70&gt;0,"車,","")&amp;IF($AF70&gt;0,"リフォーム,","")&amp;IF(子1!C70=18,"大学入学,","")&amp;IF(子2!C70=18,"大学入学,","")&amp;IF(子3!C70=18,"大学入学,","")&amp;IF(子4!C70=18,"大学入学,","")</f>
        <v/>
      </c>
    </row>
    <row r="71" spans="2:51" x14ac:dyDescent="0.25">
      <c r="B71" s="80"/>
      <c r="C71" s="81"/>
      <c r="D71" s="82">
        <f t="shared" ref="D71:Q71" si="14">SUM(D6:D70)</f>
        <v>27148.452702263741</v>
      </c>
      <c r="E71" s="81">
        <f t="shared" si="14"/>
        <v>21491.976851999989</v>
      </c>
      <c r="F71" s="81">
        <f t="shared" si="14"/>
        <v>-365.03371600000008</v>
      </c>
      <c r="G71" s="81"/>
      <c r="H71" s="81">
        <f t="shared" si="14"/>
        <v>6777.7231988307667</v>
      </c>
      <c r="I71" s="83">
        <f t="shared" si="14"/>
        <v>-353.12450453214643</v>
      </c>
      <c r="J71" s="84">
        <f t="shared" si="14"/>
        <v>27551.541830298585</v>
      </c>
      <c r="K71" s="80">
        <f t="shared" si="14"/>
        <v>5181.5997743697453</v>
      </c>
      <c r="L71" s="81">
        <f t="shared" si="14"/>
        <v>1845.5045828543816</v>
      </c>
      <c r="M71" s="81">
        <f t="shared" si="14"/>
        <v>5381.64</v>
      </c>
      <c r="N71" s="81">
        <f t="shared" si="14"/>
        <v>1993.2000000000037</v>
      </c>
      <c r="O71" s="81">
        <f t="shared" si="14"/>
        <v>712.79999999999905</v>
      </c>
      <c r="P71" s="81">
        <f t="shared" si="14"/>
        <v>570.24000000000024</v>
      </c>
      <c r="Q71" s="81">
        <f t="shared" si="14"/>
        <v>356.39999999999952</v>
      </c>
      <c r="R71" s="81"/>
      <c r="S71" s="81">
        <f t="shared" ref="S71:AL71" si="15">SUM(S6:S70)</f>
        <v>0</v>
      </c>
      <c r="T71" s="85">
        <f t="shared" si="15"/>
        <v>16545.38435722412</v>
      </c>
      <c r="U71" s="84">
        <f t="shared" si="15"/>
        <v>11006.157473074494</v>
      </c>
      <c r="V71" s="81">
        <f t="shared" si="15"/>
        <v>390</v>
      </c>
      <c r="W71" s="81">
        <f t="shared" si="15"/>
        <v>364.80000000000035</v>
      </c>
      <c r="X71" s="81">
        <f t="shared" si="15"/>
        <v>144</v>
      </c>
      <c r="Y71" s="81">
        <f t="shared" si="15"/>
        <v>288</v>
      </c>
      <c r="Z71" s="81">
        <f t="shared" si="15"/>
        <v>1176.7309</v>
      </c>
      <c r="AA71" s="81">
        <f t="shared" si="15"/>
        <v>432</v>
      </c>
      <c r="AB71" s="81">
        <f t="shared" si="15"/>
        <v>0</v>
      </c>
      <c r="AC71" s="85">
        <f t="shared" si="15"/>
        <v>2795.5309000000061</v>
      </c>
      <c r="AD71" s="84">
        <f t="shared" si="15"/>
        <v>8210.6265730745035</v>
      </c>
      <c r="AE71" s="35">
        <f t="shared" si="15"/>
        <v>3348</v>
      </c>
      <c r="AF71" s="2">
        <f t="shared" si="15"/>
        <v>870</v>
      </c>
      <c r="AG71" s="2">
        <f t="shared" si="15"/>
        <v>363</v>
      </c>
      <c r="AH71" s="2">
        <f t="shared" si="15"/>
        <v>2550</v>
      </c>
      <c r="AI71" s="2">
        <f t="shared" si="15"/>
        <v>0</v>
      </c>
      <c r="AJ71" s="37">
        <f t="shared" si="15"/>
        <v>1380.25</v>
      </c>
      <c r="AK71" s="40">
        <f t="shared" si="15"/>
        <v>8511.25</v>
      </c>
      <c r="AL71" s="38">
        <f t="shared" si="15"/>
        <v>-300.62342692550192</v>
      </c>
      <c r="AM71" s="78"/>
      <c r="AV71" s="24">
        <f t="shared" ref="AV71" si="16">T71+AC71+AK71</f>
        <v>27852.165257224126</v>
      </c>
    </row>
    <row r="72" spans="2:51" x14ac:dyDescent="0.25">
      <c r="AR72" s="1"/>
    </row>
    <row r="73" spans="2:51" x14ac:dyDescent="0.25">
      <c r="AR73" s="1"/>
    </row>
  </sheetData>
  <phoneticPr fontId="2"/>
  <conditionalFormatting sqref="A6:AP70 AW6:AX70 BA6:XFD70 AR6:AU70">
    <cfRule type="expression" dxfId="4" priority="21">
      <formula>$C6=80</formula>
    </cfRule>
  </conditionalFormatting>
  <conditionalFormatting sqref="AV6:AV71">
    <cfRule type="expression" dxfId="3" priority="7">
      <formula>$C6=80</formula>
    </cfRule>
  </conditionalFormatting>
  <conditionalFormatting sqref="AY6:AY70">
    <cfRule type="expression" dxfId="2" priority="3">
      <formula>$C6=80</formula>
    </cfRule>
  </conditionalFormatting>
  <conditionalFormatting sqref="AQ6:AQ70">
    <cfRule type="expression" dxfId="1" priority="1">
      <formula>$C6=80</formula>
    </cfRule>
  </conditionalFormatting>
  <pageMargins left="0.7" right="0.7" top="0.75" bottom="0.75" header="0.3" footer="0.3"/>
  <pageSetup paperSize="8"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28" id="{E7D6F404-A84E-41BD-AA4D-BCFF3B3DFD90}">
            <xm:f>$C6=入力!$AQ$43</xm:f>
            <x14:dxf>
              <fill>
                <patternFill>
                  <bgColor rgb="FFFFFF00"/>
                </patternFill>
              </fill>
            </x14:dxf>
          </x14:cfRule>
          <xm:sqref>AV6:AV71 BA6:XFD70 AW6:AY70 A6:AU70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1" tint="0.34998626667073579"/>
  </sheetPr>
  <dimension ref="C1:BE410"/>
  <sheetViews>
    <sheetView topLeftCell="C1" zoomScale="70" zoomScaleNormal="70" workbookViewId="0">
      <selection activeCell="AA11" sqref="AA11"/>
    </sheetView>
  </sheetViews>
  <sheetFormatPr defaultRowHeight="14.25" x14ac:dyDescent="0.25"/>
  <cols>
    <col min="1" max="54" width="9" style="181"/>
    <col min="56" max="56" width="10.25" style="181" bestFit="1" customWidth="1"/>
    <col min="57" max="16384" width="9" style="181"/>
  </cols>
  <sheetData>
    <row r="1" spans="3:57" x14ac:dyDescent="0.25">
      <c r="C1" s="181" t="s">
        <v>256</v>
      </c>
      <c r="Q1" s="181" t="s">
        <v>256</v>
      </c>
      <c r="T1" s="181" t="s">
        <v>256</v>
      </c>
    </row>
    <row r="2" spans="3:57" x14ac:dyDescent="0.25">
      <c r="C2" s="181">
        <v>0</v>
      </c>
      <c r="E2" s="181">
        <v>55</v>
      </c>
      <c r="J2" s="181">
        <v>0</v>
      </c>
      <c r="K2" s="181">
        <v>48</v>
      </c>
      <c r="Q2" s="181">
        <v>0</v>
      </c>
      <c r="R2" s="182">
        <v>0.05</v>
      </c>
      <c r="S2" s="181">
        <v>0</v>
      </c>
      <c r="T2" s="181">
        <v>0</v>
      </c>
      <c r="V2" s="181">
        <v>55</v>
      </c>
    </row>
    <row r="3" spans="3:57" x14ac:dyDescent="0.25">
      <c r="C3" s="181">
        <v>162.5</v>
      </c>
      <c r="D3" s="183">
        <v>0.4</v>
      </c>
      <c r="E3" s="181">
        <v>-10</v>
      </c>
      <c r="J3" s="181">
        <v>2400</v>
      </c>
      <c r="K3" s="181">
        <v>32</v>
      </c>
      <c r="Q3" s="181">
        <v>195</v>
      </c>
      <c r="R3" s="183">
        <v>0.1</v>
      </c>
      <c r="S3" s="181">
        <v>-9.75</v>
      </c>
      <c r="T3" s="181">
        <v>162.5</v>
      </c>
      <c r="U3" s="183">
        <v>0.4</v>
      </c>
      <c r="V3" s="181">
        <v>-10</v>
      </c>
    </row>
    <row r="4" spans="3:57" x14ac:dyDescent="0.25">
      <c r="C4" s="181">
        <v>180</v>
      </c>
      <c r="D4" s="182">
        <v>0.3</v>
      </c>
      <c r="E4" s="181">
        <v>8</v>
      </c>
      <c r="J4" s="181">
        <v>2450</v>
      </c>
      <c r="K4" s="181">
        <v>16</v>
      </c>
      <c r="Q4" s="181">
        <v>330</v>
      </c>
      <c r="R4" s="182">
        <v>0.2</v>
      </c>
      <c r="S4" s="181">
        <v>-42.75</v>
      </c>
      <c r="T4" s="181">
        <v>180</v>
      </c>
      <c r="U4" s="182">
        <v>0.3</v>
      </c>
      <c r="V4" s="181">
        <v>8</v>
      </c>
    </row>
    <row r="5" spans="3:57" x14ac:dyDescent="0.25">
      <c r="C5" s="181">
        <v>360</v>
      </c>
      <c r="D5" s="182">
        <v>0.2</v>
      </c>
      <c r="E5" s="181">
        <v>44</v>
      </c>
      <c r="J5" s="181">
        <v>2500</v>
      </c>
      <c r="K5" s="181">
        <v>0</v>
      </c>
      <c r="Q5" s="181">
        <v>695</v>
      </c>
      <c r="R5" s="182">
        <v>0.23</v>
      </c>
      <c r="S5" s="181">
        <v>-63.6</v>
      </c>
      <c r="T5" s="181">
        <v>360</v>
      </c>
      <c r="U5" s="182">
        <v>0.2</v>
      </c>
      <c r="V5" s="181">
        <v>44</v>
      </c>
      <c r="AW5" s="181">
        <v>10000</v>
      </c>
    </row>
    <row r="6" spans="3:57" x14ac:dyDescent="0.25">
      <c r="C6" s="181">
        <v>660</v>
      </c>
      <c r="D6" s="182">
        <v>0.1</v>
      </c>
      <c r="E6" s="181">
        <v>110</v>
      </c>
      <c r="Q6" s="181">
        <v>900</v>
      </c>
      <c r="R6" s="182">
        <v>0.33</v>
      </c>
      <c r="S6" s="181">
        <v>-153.6</v>
      </c>
      <c r="T6" s="181">
        <v>660</v>
      </c>
      <c r="U6" s="182">
        <v>0.1</v>
      </c>
      <c r="V6" s="181">
        <v>110</v>
      </c>
    </row>
    <row r="7" spans="3:57" x14ac:dyDescent="0.25">
      <c r="C7" s="181">
        <v>850</v>
      </c>
      <c r="D7" s="182"/>
      <c r="E7" s="181">
        <v>195</v>
      </c>
      <c r="Q7" s="181">
        <v>1800</v>
      </c>
      <c r="R7" s="182">
        <v>0.4</v>
      </c>
      <c r="S7" s="181">
        <v>-279.60000000000002</v>
      </c>
      <c r="T7" s="181">
        <v>850</v>
      </c>
      <c r="U7" s="182"/>
      <c r="V7" s="181">
        <v>195</v>
      </c>
    </row>
    <row r="8" spans="3:57" x14ac:dyDescent="0.25">
      <c r="H8" s="184">
        <v>3.5900000000000001E-2</v>
      </c>
      <c r="I8" s="184">
        <v>9.1499999999999998E-2</v>
      </c>
      <c r="J8" s="184">
        <v>2.81E-3</v>
      </c>
      <c r="Q8" s="181">
        <v>4000</v>
      </c>
      <c r="R8" s="182">
        <v>0.45</v>
      </c>
      <c r="S8" s="181">
        <v>-479.6</v>
      </c>
      <c r="AK8" s="181">
        <v>23</v>
      </c>
      <c r="AM8" s="181">
        <v>25</v>
      </c>
      <c r="AN8" s="181">
        <v>26</v>
      </c>
      <c r="AO8" s="181">
        <v>27</v>
      </c>
      <c r="AQ8" s="181">
        <v>23</v>
      </c>
      <c r="AS8" s="181">
        <v>25</v>
      </c>
      <c r="AT8" s="181">
        <v>26</v>
      </c>
      <c r="AU8" s="181">
        <v>27</v>
      </c>
    </row>
    <row r="9" spans="3:57" ht="15" thickBot="1" x14ac:dyDescent="0.3">
      <c r="H9" s="181" t="s">
        <v>257</v>
      </c>
      <c r="X9" s="138" t="s">
        <v>33</v>
      </c>
      <c r="Y9" s="138" t="s">
        <v>34</v>
      </c>
      <c r="Z9" s="138" t="s">
        <v>271</v>
      </c>
      <c r="AA9" s="138" t="s">
        <v>257</v>
      </c>
      <c r="AB9" s="138" t="s">
        <v>269</v>
      </c>
      <c r="AC9" s="138" t="s">
        <v>270</v>
      </c>
      <c r="AD9" s="138" t="s">
        <v>33</v>
      </c>
      <c r="AE9" s="181" t="s">
        <v>272</v>
      </c>
      <c r="AF9" s="181" t="s">
        <v>271</v>
      </c>
      <c r="AG9" s="181" t="s">
        <v>273</v>
      </c>
    </row>
    <row r="10" spans="3:57" ht="15" thickBot="1" x14ac:dyDescent="0.25">
      <c r="C10" s="181" t="s">
        <v>258</v>
      </c>
      <c r="F10" s="181" t="s">
        <v>259</v>
      </c>
      <c r="G10" s="181" t="s">
        <v>260</v>
      </c>
      <c r="H10" s="181" t="s">
        <v>261</v>
      </c>
      <c r="I10" s="181" t="s">
        <v>262</v>
      </c>
      <c r="J10" s="181" t="s">
        <v>263</v>
      </c>
      <c r="K10" s="181" t="s">
        <v>264</v>
      </c>
      <c r="L10" s="181" t="s">
        <v>265</v>
      </c>
      <c r="M10" s="181" t="s">
        <v>266</v>
      </c>
      <c r="P10" s="181" t="s">
        <v>267</v>
      </c>
      <c r="Q10" s="181" t="s">
        <v>268</v>
      </c>
      <c r="T10" s="181" t="s">
        <v>269</v>
      </c>
      <c r="U10" s="181" t="s">
        <v>270</v>
      </c>
      <c r="X10" s="138">
        <v>0</v>
      </c>
      <c r="Y10" s="138"/>
      <c r="Z10" s="138"/>
      <c r="AA10" s="138"/>
      <c r="AB10" s="138"/>
      <c r="AC10" s="138"/>
      <c r="AD10" s="138"/>
      <c r="AJ10" s="138" t="s">
        <v>33</v>
      </c>
      <c r="AK10" s="138" t="s">
        <v>34</v>
      </c>
      <c r="AL10" s="138" t="s">
        <v>271</v>
      </c>
      <c r="AM10" s="138" t="s">
        <v>257</v>
      </c>
      <c r="AN10" s="138" t="s">
        <v>269</v>
      </c>
      <c r="AO10" s="138" t="s">
        <v>270</v>
      </c>
      <c r="AP10" s="138" t="s">
        <v>33</v>
      </c>
      <c r="AQ10" s="138" t="s">
        <v>34</v>
      </c>
      <c r="AR10" s="138" t="s">
        <v>271</v>
      </c>
      <c r="AS10" s="138" t="s">
        <v>257</v>
      </c>
      <c r="AT10" s="138" t="s">
        <v>269</v>
      </c>
      <c r="AU10" s="138" t="s">
        <v>270</v>
      </c>
      <c r="AW10" s="318" t="s">
        <v>511</v>
      </c>
      <c r="AX10" s="318" t="s">
        <v>512</v>
      </c>
      <c r="AY10" s="318"/>
      <c r="AZ10" s="318"/>
      <c r="BA10" s="318"/>
      <c r="BE10" s="318"/>
    </row>
    <row r="11" spans="3:57" ht="15" thickBot="1" x14ac:dyDescent="0.25">
      <c r="C11" s="181">
        <v>10</v>
      </c>
      <c r="D11" s="183">
        <v>0</v>
      </c>
      <c r="E11" s="185">
        <v>55</v>
      </c>
      <c r="F11" s="181">
        <v>55</v>
      </c>
      <c r="G11" s="185">
        <v>0</v>
      </c>
      <c r="H11" s="185">
        <v>3.5809199999999994</v>
      </c>
      <c r="I11" s="185">
        <v>0</v>
      </c>
      <c r="J11" s="185">
        <v>0.62639999999999996</v>
      </c>
      <c r="K11" s="181">
        <v>48</v>
      </c>
      <c r="P11" s="186">
        <v>52.207319999999996</v>
      </c>
      <c r="Q11" s="186">
        <v>0</v>
      </c>
      <c r="R11" s="183">
        <v>0.05</v>
      </c>
      <c r="S11" s="185">
        <v>0</v>
      </c>
      <c r="T11" s="185">
        <v>0</v>
      </c>
      <c r="U11" s="185">
        <v>0</v>
      </c>
      <c r="V11" s="187">
        <v>0</v>
      </c>
      <c r="X11" s="152">
        <v>10</v>
      </c>
      <c r="Y11" s="152">
        <v>5.7926800000000007</v>
      </c>
      <c r="Z11" s="188">
        <v>0.57926800000000012</v>
      </c>
      <c r="AA11" s="152">
        <v>0</v>
      </c>
      <c r="AB11" s="152">
        <v>0</v>
      </c>
      <c r="AC11" s="152">
        <v>0</v>
      </c>
      <c r="AD11" s="152">
        <v>10</v>
      </c>
      <c r="AJ11" s="152">
        <v>50</v>
      </c>
      <c r="AK11" s="152">
        <v>45.792680000000004</v>
      </c>
      <c r="AL11" s="188">
        <v>0.91585360000000005</v>
      </c>
      <c r="AM11" s="152">
        <v>4.2073199999999993</v>
      </c>
      <c r="AN11" s="152">
        <v>0</v>
      </c>
      <c r="AO11" s="152">
        <v>0</v>
      </c>
      <c r="AP11" s="152">
        <v>1050</v>
      </c>
      <c r="AQ11" s="152">
        <v>756.50636000000009</v>
      </c>
      <c r="AR11" s="188">
        <v>0.71947204761904759</v>
      </c>
      <c r="AS11" s="152">
        <v>135.20519999999999</v>
      </c>
      <c r="AT11" s="152">
        <v>91.608959999999996</v>
      </c>
      <c r="AU11" s="152">
        <v>66.679479999999998</v>
      </c>
      <c r="AW11" s="319">
        <v>0</v>
      </c>
      <c r="AX11" s="318"/>
      <c r="AY11" s="318"/>
      <c r="AZ11" s="318"/>
      <c r="BA11" s="184">
        <v>5.1449999999999996E-2</v>
      </c>
      <c r="BB11" s="184">
        <v>8.9999999999999993E-3</v>
      </c>
      <c r="BE11" s="184">
        <v>9.1499999999999998E-2</v>
      </c>
    </row>
    <row r="12" spans="3:57" ht="15" thickBot="1" x14ac:dyDescent="0.25">
      <c r="C12" s="181">
        <v>20</v>
      </c>
      <c r="D12" s="183">
        <v>0</v>
      </c>
      <c r="E12" s="185">
        <v>55</v>
      </c>
      <c r="F12" s="181">
        <v>55</v>
      </c>
      <c r="G12" s="185">
        <v>0</v>
      </c>
      <c r="H12" s="185">
        <v>3.5809199999999994</v>
      </c>
      <c r="I12" s="185">
        <v>0</v>
      </c>
      <c r="J12" s="185">
        <v>0.62639999999999996</v>
      </c>
      <c r="K12" s="181">
        <v>48</v>
      </c>
      <c r="P12" s="186">
        <v>52.207319999999996</v>
      </c>
      <c r="Q12" s="186">
        <v>0</v>
      </c>
      <c r="R12" s="183">
        <v>0.05</v>
      </c>
      <c r="S12" s="185">
        <v>0</v>
      </c>
      <c r="T12" s="185">
        <v>0</v>
      </c>
      <c r="U12" s="185">
        <v>0</v>
      </c>
      <c r="V12" s="187">
        <v>0</v>
      </c>
      <c r="X12" s="152">
        <v>20</v>
      </c>
      <c r="Y12" s="152">
        <v>15.792680000000001</v>
      </c>
      <c r="Z12" s="188">
        <v>0.78963400000000006</v>
      </c>
      <c r="AA12" s="152">
        <v>4.2073199999999993</v>
      </c>
      <c r="AB12" s="152">
        <v>0</v>
      </c>
      <c r="AC12" s="152">
        <v>0</v>
      </c>
      <c r="AD12" s="152">
        <v>20</v>
      </c>
      <c r="AE12" s="186"/>
      <c r="AG12" s="186"/>
      <c r="AJ12" s="152">
        <v>100</v>
      </c>
      <c r="AK12" s="152">
        <v>83.954080000000005</v>
      </c>
      <c r="AL12" s="188">
        <v>0.83954080000000009</v>
      </c>
      <c r="AM12" s="152">
        <v>16.045920000000002</v>
      </c>
      <c r="AN12" s="152">
        <v>0</v>
      </c>
      <c r="AO12" s="152">
        <v>0</v>
      </c>
      <c r="AP12" s="152">
        <v>1100</v>
      </c>
      <c r="AQ12" s="152">
        <v>788.272426</v>
      </c>
      <c r="AR12" s="188">
        <v>0.7139320272727272</v>
      </c>
      <c r="AS12" s="152">
        <v>138.83220000000003</v>
      </c>
      <c r="AT12" s="152">
        <v>101.57859400000001</v>
      </c>
      <c r="AU12" s="152">
        <v>71.316779999999994</v>
      </c>
      <c r="AW12" s="320">
        <v>0</v>
      </c>
      <c r="AX12" s="320">
        <v>6.3</v>
      </c>
      <c r="AY12" s="320"/>
      <c r="AZ12" s="320">
        <v>5.8</v>
      </c>
      <c r="BA12" s="320">
        <v>0.29840999999999995</v>
      </c>
      <c r="BB12" s="320">
        <v>5.2199999999999996E-2</v>
      </c>
      <c r="BC12" s="320"/>
      <c r="BD12" s="320"/>
      <c r="BE12" s="320"/>
    </row>
    <row r="13" spans="3:57" ht="15" thickBot="1" x14ac:dyDescent="0.25">
      <c r="C13" s="181">
        <v>30</v>
      </c>
      <c r="D13" s="183">
        <v>0</v>
      </c>
      <c r="E13" s="185">
        <v>55</v>
      </c>
      <c r="F13" s="181">
        <v>55</v>
      </c>
      <c r="G13" s="185">
        <v>0</v>
      </c>
      <c r="H13" s="185">
        <v>3.5809199999999994</v>
      </c>
      <c r="I13" s="185">
        <v>0</v>
      </c>
      <c r="J13" s="185">
        <v>0.62639999999999996</v>
      </c>
      <c r="K13" s="181">
        <v>48</v>
      </c>
      <c r="P13" s="186">
        <v>52.207319999999996</v>
      </c>
      <c r="Q13" s="186">
        <v>0</v>
      </c>
      <c r="R13" s="183">
        <v>0.05</v>
      </c>
      <c r="S13" s="185">
        <v>0</v>
      </c>
      <c r="T13" s="185">
        <v>0</v>
      </c>
      <c r="U13" s="185">
        <v>0</v>
      </c>
      <c r="V13" s="187">
        <v>0</v>
      </c>
      <c r="X13" s="152">
        <v>30</v>
      </c>
      <c r="Y13" s="152">
        <v>25.792680000000001</v>
      </c>
      <c r="Z13" s="188">
        <v>0.85975600000000008</v>
      </c>
      <c r="AA13" s="152">
        <v>4.2073199999999993</v>
      </c>
      <c r="AB13" s="152">
        <v>0</v>
      </c>
      <c r="AC13" s="152">
        <v>0</v>
      </c>
      <c r="AD13" s="152">
        <v>30</v>
      </c>
      <c r="AE13" s="186">
        <v>20</v>
      </c>
      <c r="AF13" s="183">
        <v>0.4</v>
      </c>
      <c r="AG13" s="186"/>
      <c r="AH13" s="183"/>
      <c r="AJ13" s="152">
        <v>150</v>
      </c>
      <c r="AK13" s="152">
        <v>123.921386</v>
      </c>
      <c r="AL13" s="188">
        <v>0.8261425733333333</v>
      </c>
      <c r="AM13" s="152">
        <v>22.97484</v>
      </c>
      <c r="AN13" s="152">
        <v>1.2012580000000002</v>
      </c>
      <c r="AO13" s="152">
        <v>1.9025160000000003</v>
      </c>
      <c r="AP13" s="152">
        <v>1150</v>
      </c>
      <c r="AQ13" s="152">
        <v>819.34233599999993</v>
      </c>
      <c r="AR13" s="188">
        <v>0.70822886521739126</v>
      </c>
      <c r="AS13" s="152">
        <v>142.45920000000001</v>
      </c>
      <c r="AT13" s="152">
        <v>112.24438400000003</v>
      </c>
      <c r="AU13" s="152">
        <v>75.954080000000005</v>
      </c>
      <c r="AW13" s="320">
        <v>6.3</v>
      </c>
      <c r="AX13" s="320">
        <v>7.3</v>
      </c>
      <c r="AY13" s="320"/>
      <c r="AZ13" s="320">
        <v>6.8</v>
      </c>
      <c r="BA13" s="320">
        <v>0.34985999999999995</v>
      </c>
      <c r="BB13" s="320">
        <v>6.1199999999999991E-2</v>
      </c>
      <c r="BC13" s="320"/>
      <c r="BD13" s="320"/>
      <c r="BE13" s="320"/>
    </row>
    <row r="14" spans="3:57" ht="15" thickBot="1" x14ac:dyDescent="0.25">
      <c r="C14" s="181">
        <v>40</v>
      </c>
      <c r="D14" s="183">
        <v>0</v>
      </c>
      <c r="E14" s="185">
        <v>55</v>
      </c>
      <c r="F14" s="181">
        <v>55</v>
      </c>
      <c r="G14" s="185">
        <v>0</v>
      </c>
      <c r="H14" s="185">
        <v>3.5809199999999994</v>
      </c>
      <c r="I14" s="185">
        <v>0</v>
      </c>
      <c r="J14" s="185">
        <v>0.62639999999999996</v>
      </c>
      <c r="K14" s="181">
        <v>48</v>
      </c>
      <c r="P14" s="186">
        <v>52.207319999999996</v>
      </c>
      <c r="Q14" s="186">
        <v>0</v>
      </c>
      <c r="R14" s="183">
        <v>0.05</v>
      </c>
      <c r="S14" s="185">
        <v>0</v>
      </c>
      <c r="T14" s="185">
        <v>0</v>
      </c>
      <c r="U14" s="185">
        <v>0</v>
      </c>
      <c r="V14" s="187">
        <v>0</v>
      </c>
      <c r="X14" s="152">
        <v>40</v>
      </c>
      <c r="Y14" s="152">
        <v>35.792680000000004</v>
      </c>
      <c r="Z14" s="188">
        <v>0.89481700000000008</v>
      </c>
      <c r="AA14" s="152">
        <v>4.2073199999999993</v>
      </c>
      <c r="AB14" s="152">
        <v>0</v>
      </c>
      <c r="AC14" s="152">
        <v>0</v>
      </c>
      <c r="AD14" s="152">
        <v>40</v>
      </c>
      <c r="AE14" s="186">
        <v>20.000000000000004</v>
      </c>
      <c r="AF14" s="183">
        <v>0.40000000000000008</v>
      </c>
      <c r="AG14" s="186"/>
      <c r="AH14" s="183"/>
      <c r="AJ14" s="152">
        <v>200</v>
      </c>
      <c r="AK14" s="152">
        <v>161.55187000000001</v>
      </c>
      <c r="AL14" s="188">
        <v>0.80775934999999999</v>
      </c>
      <c r="AM14" s="152">
        <v>30.997799999999994</v>
      </c>
      <c r="AN14" s="152">
        <v>2.6501100000000002</v>
      </c>
      <c r="AO14" s="152">
        <v>4.8002200000000004</v>
      </c>
      <c r="AP14" s="152">
        <v>1200</v>
      </c>
      <c r="AQ14" s="152">
        <v>852.84233599999993</v>
      </c>
      <c r="AR14" s="188">
        <v>0.70300096666666656</v>
      </c>
      <c r="AS14" s="152">
        <v>142.45920000000001</v>
      </c>
      <c r="AT14" s="152">
        <v>123.74438400000003</v>
      </c>
      <c r="AU14" s="152">
        <v>80.954080000000005</v>
      </c>
      <c r="AW14" s="320">
        <v>7.3</v>
      </c>
      <c r="AX14" s="320">
        <v>8.3000000000000007</v>
      </c>
      <c r="AY14" s="320"/>
      <c r="AZ14" s="320">
        <v>7.8</v>
      </c>
      <c r="BA14" s="320">
        <v>0.40130999999999994</v>
      </c>
      <c r="BB14" s="320">
        <v>7.0199999999999999E-2</v>
      </c>
      <c r="BC14" s="320"/>
      <c r="BD14" s="320">
        <v>0</v>
      </c>
      <c r="BE14" s="320">
        <v>0</v>
      </c>
    </row>
    <row r="15" spans="3:57" ht="15" thickBot="1" x14ac:dyDescent="0.25">
      <c r="C15" s="181">
        <v>50</v>
      </c>
      <c r="D15" s="183">
        <v>0</v>
      </c>
      <c r="E15" s="185">
        <v>55</v>
      </c>
      <c r="F15" s="181">
        <v>55</v>
      </c>
      <c r="G15" s="185">
        <v>0</v>
      </c>
      <c r="H15" s="185">
        <v>3.5809199999999994</v>
      </c>
      <c r="I15" s="185">
        <v>0</v>
      </c>
      <c r="J15" s="185">
        <v>0.62639999999999996</v>
      </c>
      <c r="K15" s="181">
        <v>48</v>
      </c>
      <c r="P15" s="186">
        <v>52.207319999999996</v>
      </c>
      <c r="Q15" s="186">
        <v>0</v>
      </c>
      <c r="R15" s="183">
        <v>0.05</v>
      </c>
      <c r="S15" s="185">
        <v>0</v>
      </c>
      <c r="T15" s="185">
        <v>0</v>
      </c>
      <c r="U15" s="185">
        <v>0</v>
      </c>
      <c r="V15" s="187">
        <v>0</v>
      </c>
      <c r="X15" s="152">
        <v>50</v>
      </c>
      <c r="Y15" s="152">
        <v>45.792680000000004</v>
      </c>
      <c r="Z15" s="188">
        <v>0.91585360000000005</v>
      </c>
      <c r="AA15" s="152">
        <v>4.2073199999999993</v>
      </c>
      <c r="AB15" s="152">
        <v>0</v>
      </c>
      <c r="AC15" s="152">
        <v>0</v>
      </c>
      <c r="AD15" s="152">
        <v>50</v>
      </c>
      <c r="AE15" s="186">
        <v>20.000000000000004</v>
      </c>
      <c r="AF15" s="183">
        <v>0.40000000000000008</v>
      </c>
      <c r="AG15" s="186">
        <v>40</v>
      </c>
      <c r="AH15" s="183">
        <v>0.4</v>
      </c>
      <c r="AJ15" s="152">
        <v>250</v>
      </c>
      <c r="AK15" s="152">
        <v>201.65219999999999</v>
      </c>
      <c r="AL15" s="188">
        <v>0.80660880000000001</v>
      </c>
      <c r="AM15" s="152">
        <v>36.468000000000004</v>
      </c>
      <c r="AN15" s="152">
        <v>4.1265999999999998</v>
      </c>
      <c r="AO15" s="152">
        <v>7.7531999999999996</v>
      </c>
      <c r="AP15" s="152">
        <v>1250</v>
      </c>
      <c r="AQ15" s="152">
        <v>883.91224599999998</v>
      </c>
      <c r="AR15" s="188">
        <v>0.69819130000000007</v>
      </c>
      <c r="AS15" s="152">
        <v>146.08619999999999</v>
      </c>
      <c r="AT15" s="152">
        <v>134.41017400000001</v>
      </c>
      <c r="AU15" s="152">
        <v>85.591380000000015</v>
      </c>
      <c r="AW15" s="320">
        <v>8.3000000000000007</v>
      </c>
      <c r="AX15" s="320">
        <v>9.3000000000000007</v>
      </c>
      <c r="AY15" s="320">
        <v>0</v>
      </c>
      <c r="AZ15" s="320">
        <v>8.8000000000000007</v>
      </c>
      <c r="BA15" s="320">
        <v>0.45276</v>
      </c>
      <c r="BB15" s="320">
        <v>7.9200000000000007E-2</v>
      </c>
      <c r="BC15" s="320"/>
      <c r="BD15" s="320">
        <v>8.3000000000000007</v>
      </c>
      <c r="BE15" s="320">
        <v>0.80520000000000003</v>
      </c>
    </row>
    <row r="16" spans="3:57" ht="15" thickBot="1" x14ac:dyDescent="0.25">
      <c r="C16" s="181">
        <v>60</v>
      </c>
      <c r="D16" s="183">
        <v>0</v>
      </c>
      <c r="E16" s="185">
        <v>55</v>
      </c>
      <c r="F16" s="181">
        <v>55</v>
      </c>
      <c r="G16" s="185">
        <v>5</v>
      </c>
      <c r="H16" s="185">
        <v>3.5809199999999994</v>
      </c>
      <c r="I16" s="185">
        <v>0</v>
      </c>
      <c r="J16" s="185">
        <v>0.62639999999999996</v>
      </c>
      <c r="K16" s="181">
        <v>48</v>
      </c>
      <c r="P16" s="186">
        <v>52.207319999999996</v>
      </c>
      <c r="Q16" s="186">
        <v>0</v>
      </c>
      <c r="R16" s="183">
        <v>0.05</v>
      </c>
      <c r="S16" s="185">
        <v>0</v>
      </c>
      <c r="T16" s="185">
        <v>0</v>
      </c>
      <c r="U16" s="185">
        <v>0</v>
      </c>
      <c r="V16" s="187">
        <v>0</v>
      </c>
      <c r="X16" s="152">
        <v>60</v>
      </c>
      <c r="Y16" s="152">
        <v>55.792680000000004</v>
      </c>
      <c r="Z16" s="188">
        <v>0.92987800000000009</v>
      </c>
      <c r="AA16" s="152">
        <v>4.2073199999999993</v>
      </c>
      <c r="AB16" s="152">
        <v>0</v>
      </c>
      <c r="AC16" s="152">
        <v>0</v>
      </c>
      <c r="AD16" s="152">
        <v>60</v>
      </c>
      <c r="AE16" s="186">
        <v>20</v>
      </c>
      <c r="AF16" s="183">
        <v>0.4</v>
      </c>
      <c r="AG16" s="186">
        <v>40</v>
      </c>
      <c r="AH16" s="183">
        <v>0.4</v>
      </c>
      <c r="AJ16" s="152">
        <v>300</v>
      </c>
      <c r="AK16" s="152">
        <v>237.10285999999999</v>
      </c>
      <c r="AL16" s="188">
        <v>0.79034286666666664</v>
      </c>
      <c r="AM16" s="152">
        <v>47.4084</v>
      </c>
      <c r="AN16" s="152">
        <v>5.32958</v>
      </c>
      <c r="AO16" s="152">
        <v>10.15916</v>
      </c>
      <c r="AP16" s="152">
        <v>1300</v>
      </c>
      <c r="AQ16" s="152">
        <v>913.83999799999992</v>
      </c>
      <c r="AR16" s="188">
        <v>0.6937516076923077</v>
      </c>
      <c r="AS16" s="152">
        <v>150.43860000000001</v>
      </c>
      <c r="AT16" s="152">
        <v>145.56526200000005</v>
      </c>
      <c r="AU16" s="152">
        <v>90.156140000000008</v>
      </c>
      <c r="AW16" s="320">
        <v>9.3000000000000007</v>
      </c>
      <c r="AX16" s="320">
        <v>10.1</v>
      </c>
      <c r="AY16" s="320">
        <v>0</v>
      </c>
      <c r="AZ16" s="320">
        <v>9.8000000000000007</v>
      </c>
      <c r="BA16" s="320">
        <v>0.50421000000000005</v>
      </c>
      <c r="BB16" s="320">
        <v>8.8200000000000001E-2</v>
      </c>
      <c r="BC16" s="320"/>
      <c r="BD16" s="320">
        <v>9.3000000000000007</v>
      </c>
      <c r="BE16" s="320">
        <v>0.89670000000000005</v>
      </c>
    </row>
    <row r="17" spans="3:57" ht="15" thickBot="1" x14ac:dyDescent="0.25">
      <c r="C17" s="181">
        <v>70</v>
      </c>
      <c r="D17" s="183">
        <v>0</v>
      </c>
      <c r="E17" s="185">
        <v>55</v>
      </c>
      <c r="F17" s="181">
        <v>55</v>
      </c>
      <c r="G17" s="185">
        <v>15</v>
      </c>
      <c r="H17" s="185">
        <v>3.5809199999999994</v>
      </c>
      <c r="I17" s="185">
        <v>0</v>
      </c>
      <c r="J17" s="185">
        <v>0.62639999999999996</v>
      </c>
      <c r="K17" s="181">
        <v>48</v>
      </c>
      <c r="P17" s="186">
        <v>52.207319999999996</v>
      </c>
      <c r="Q17" s="186">
        <v>0</v>
      </c>
      <c r="R17" s="183">
        <v>0.05</v>
      </c>
      <c r="S17" s="185">
        <v>0</v>
      </c>
      <c r="T17" s="185">
        <v>0</v>
      </c>
      <c r="U17" s="185">
        <v>0</v>
      </c>
      <c r="V17" s="187">
        <v>0</v>
      </c>
      <c r="X17" s="152">
        <v>70</v>
      </c>
      <c r="Y17" s="152">
        <v>65.792680000000004</v>
      </c>
      <c r="Z17" s="188">
        <v>0.9398954285714286</v>
      </c>
      <c r="AA17" s="152">
        <v>4.2073199999999993</v>
      </c>
      <c r="AB17" s="152">
        <v>0</v>
      </c>
      <c r="AC17" s="152">
        <v>0</v>
      </c>
      <c r="AD17" s="152">
        <v>70</v>
      </c>
      <c r="AE17" s="186">
        <v>20</v>
      </c>
      <c r="AF17" s="183">
        <v>0.4</v>
      </c>
      <c r="AG17" s="186">
        <v>40</v>
      </c>
      <c r="AH17" s="183">
        <v>0.4</v>
      </c>
      <c r="AJ17" s="152">
        <v>350</v>
      </c>
      <c r="AK17" s="152">
        <v>272.55351999999999</v>
      </c>
      <c r="AL17" s="188">
        <v>0.77872434285714287</v>
      </c>
      <c r="AM17" s="152">
        <v>58.348799999999997</v>
      </c>
      <c r="AN17" s="152">
        <v>6.532560000000001</v>
      </c>
      <c r="AO17" s="152">
        <v>12.565120000000002</v>
      </c>
      <c r="AP17" s="152">
        <v>1350</v>
      </c>
      <c r="AQ17" s="152">
        <v>939.85912999999994</v>
      </c>
      <c r="AR17" s="188">
        <v>0.6873284481481482</v>
      </c>
      <c r="AS17" s="152">
        <v>154.79099999999997</v>
      </c>
      <c r="AT17" s="152">
        <v>160.62897000000007</v>
      </c>
      <c r="AU17" s="152">
        <v>94.720900000000015</v>
      </c>
      <c r="AW17" s="320">
        <v>10.1</v>
      </c>
      <c r="AX17" s="320">
        <v>10.7</v>
      </c>
      <c r="AY17" s="320">
        <v>0</v>
      </c>
      <c r="AZ17" s="320">
        <v>10.4</v>
      </c>
      <c r="BA17" s="320">
        <v>0.53508</v>
      </c>
      <c r="BB17" s="320">
        <v>9.3600000000000003E-2</v>
      </c>
      <c r="BC17" s="320"/>
      <c r="BD17" s="320">
        <v>10.1</v>
      </c>
      <c r="BE17" s="320">
        <v>0.9516</v>
      </c>
    </row>
    <row r="18" spans="3:57" ht="15" thickBot="1" x14ac:dyDescent="0.25">
      <c r="C18" s="181">
        <v>80</v>
      </c>
      <c r="D18" s="183">
        <v>0</v>
      </c>
      <c r="E18" s="185">
        <v>55</v>
      </c>
      <c r="F18" s="181">
        <v>55</v>
      </c>
      <c r="G18" s="185">
        <v>25</v>
      </c>
      <c r="H18" s="185">
        <v>4.1983199999999989</v>
      </c>
      <c r="I18" s="185">
        <v>0</v>
      </c>
      <c r="J18" s="185">
        <v>0.73439999999999994</v>
      </c>
      <c r="K18" s="181">
        <v>48</v>
      </c>
      <c r="P18" s="186">
        <v>52.932719999999996</v>
      </c>
      <c r="Q18" s="186">
        <v>0</v>
      </c>
      <c r="R18" s="183">
        <v>0.05</v>
      </c>
      <c r="S18" s="185">
        <v>0</v>
      </c>
      <c r="T18" s="185">
        <v>0</v>
      </c>
      <c r="U18" s="185">
        <v>0</v>
      </c>
      <c r="V18" s="187">
        <v>0</v>
      </c>
      <c r="X18" s="152">
        <v>80</v>
      </c>
      <c r="Y18" s="152">
        <v>75.067279999999997</v>
      </c>
      <c r="Z18" s="188">
        <v>0.93834099999999998</v>
      </c>
      <c r="AA18" s="152">
        <v>4.9327199999999989</v>
      </c>
      <c r="AB18" s="152">
        <v>0</v>
      </c>
      <c r="AC18" s="152">
        <v>0</v>
      </c>
      <c r="AD18" s="152">
        <v>80</v>
      </c>
      <c r="AE18" s="186">
        <v>19.274599999999992</v>
      </c>
      <c r="AF18" s="183">
        <v>0.38549199999999983</v>
      </c>
      <c r="AG18" s="186">
        <v>39.274599999999992</v>
      </c>
      <c r="AH18" s="183">
        <v>0.39274599999999993</v>
      </c>
      <c r="AJ18" s="152">
        <v>400</v>
      </c>
      <c r="AK18" s="152">
        <v>313.60374000000002</v>
      </c>
      <c r="AL18" s="188">
        <v>0.78400935000000005</v>
      </c>
      <c r="AM18" s="152">
        <v>61.995599999999989</v>
      </c>
      <c r="AN18" s="152">
        <v>8.3002200000000013</v>
      </c>
      <c r="AO18" s="152">
        <v>16.100440000000003</v>
      </c>
      <c r="AP18" s="152">
        <v>1400</v>
      </c>
      <c r="AQ18" s="152">
        <v>968.35912999999994</v>
      </c>
      <c r="AR18" s="188">
        <v>0.6804874428571428</v>
      </c>
      <c r="AS18" s="152">
        <v>154.79099999999997</v>
      </c>
      <c r="AT18" s="152">
        <v>177.12897000000007</v>
      </c>
      <c r="AU18" s="152">
        <v>99.720900000000015</v>
      </c>
      <c r="AW18" s="320">
        <v>10.7</v>
      </c>
      <c r="AX18" s="320">
        <v>11.4</v>
      </c>
      <c r="AY18" s="320">
        <v>0</v>
      </c>
      <c r="AZ18" s="320">
        <v>11</v>
      </c>
      <c r="BA18" s="320">
        <v>0.56594999999999995</v>
      </c>
      <c r="BB18" s="320">
        <v>9.8999999999999991E-2</v>
      </c>
      <c r="BC18" s="320"/>
      <c r="BD18" s="320">
        <v>10.7</v>
      </c>
      <c r="BE18" s="320">
        <v>1.0065</v>
      </c>
    </row>
    <row r="19" spans="3:57" ht="15" thickBot="1" x14ac:dyDescent="0.25">
      <c r="C19" s="181">
        <v>90</v>
      </c>
      <c r="D19" s="183">
        <v>0</v>
      </c>
      <c r="E19" s="185">
        <v>55</v>
      </c>
      <c r="F19" s="181">
        <v>55</v>
      </c>
      <c r="G19" s="185">
        <v>35</v>
      </c>
      <c r="H19" s="185">
        <v>4.8157199999999989</v>
      </c>
      <c r="I19" s="185">
        <v>0</v>
      </c>
      <c r="J19" s="185">
        <v>0.84240000000000004</v>
      </c>
      <c r="K19" s="181">
        <v>48</v>
      </c>
      <c r="P19" s="186">
        <v>53.658119999999997</v>
      </c>
      <c r="Q19" s="186">
        <v>0</v>
      </c>
      <c r="R19" s="183">
        <v>0.05</v>
      </c>
      <c r="S19" s="185">
        <v>0</v>
      </c>
      <c r="T19" s="185">
        <v>0</v>
      </c>
      <c r="U19" s="185">
        <v>0</v>
      </c>
      <c r="V19" s="187">
        <v>0</v>
      </c>
      <c r="X19" s="152">
        <v>90</v>
      </c>
      <c r="Y19" s="152">
        <v>84.341880000000003</v>
      </c>
      <c r="Z19" s="188">
        <v>0.93713200000000008</v>
      </c>
      <c r="AA19" s="152">
        <v>5.6581199999999985</v>
      </c>
      <c r="AB19" s="152">
        <v>0</v>
      </c>
      <c r="AC19" s="152">
        <v>0</v>
      </c>
      <c r="AD19" s="152">
        <v>90</v>
      </c>
      <c r="AE19" s="186">
        <v>18.549199999999999</v>
      </c>
      <c r="AF19" s="183">
        <v>0.37098399999999998</v>
      </c>
      <c r="AG19" s="186">
        <v>38.549199999999999</v>
      </c>
      <c r="AH19" s="183">
        <v>0.385492</v>
      </c>
      <c r="AJ19" s="152">
        <v>450</v>
      </c>
      <c r="AK19" s="152">
        <v>351.21863999999999</v>
      </c>
      <c r="AL19" s="188">
        <v>0.78048586666666664</v>
      </c>
      <c r="AM19" s="152">
        <v>69.289199999999994</v>
      </c>
      <c r="AN19" s="152">
        <v>10.121080000000003</v>
      </c>
      <c r="AO19" s="152">
        <v>19.371080000000003</v>
      </c>
      <c r="AP19" s="152">
        <v>1450</v>
      </c>
      <c r="AQ19" s="152">
        <v>994.37826199999995</v>
      </c>
      <c r="AR19" s="188">
        <v>0.67411823103448276</v>
      </c>
      <c r="AS19" s="152">
        <v>159.14340000000001</v>
      </c>
      <c r="AT19" s="152">
        <v>192.19267800000003</v>
      </c>
      <c r="AU19" s="152">
        <v>104.28566000000001</v>
      </c>
      <c r="AW19" s="320">
        <v>11.4</v>
      </c>
      <c r="AX19" s="320">
        <v>12.2</v>
      </c>
      <c r="AY19" s="320">
        <v>0</v>
      </c>
      <c r="AZ19" s="320">
        <v>11.8</v>
      </c>
      <c r="BA19" s="320">
        <v>0.60711000000000004</v>
      </c>
      <c r="BB19" s="320">
        <v>0.1062</v>
      </c>
      <c r="BC19" s="320"/>
      <c r="BD19" s="320">
        <v>11.4</v>
      </c>
      <c r="BE19" s="320">
        <v>1.0797000000000001</v>
      </c>
    </row>
    <row r="20" spans="3:57" ht="15" thickBot="1" x14ac:dyDescent="0.25">
      <c r="C20" s="181">
        <v>100</v>
      </c>
      <c r="D20" s="183">
        <v>0</v>
      </c>
      <c r="E20" s="185">
        <v>55</v>
      </c>
      <c r="F20" s="181">
        <v>55</v>
      </c>
      <c r="G20" s="185">
        <v>45</v>
      </c>
      <c r="H20" s="185">
        <v>5.4331199999999997</v>
      </c>
      <c r="I20" s="185">
        <v>9.6623999999999999</v>
      </c>
      <c r="J20" s="185">
        <v>0.95040000000000013</v>
      </c>
      <c r="K20" s="181">
        <v>48</v>
      </c>
      <c r="P20" s="186">
        <v>64.045919999999995</v>
      </c>
      <c r="Q20" s="186">
        <v>0</v>
      </c>
      <c r="R20" s="183">
        <v>0.05</v>
      </c>
      <c r="S20" s="185">
        <v>0</v>
      </c>
      <c r="T20" s="185">
        <v>0</v>
      </c>
      <c r="U20" s="185">
        <v>0</v>
      </c>
      <c r="V20" s="187">
        <v>0</v>
      </c>
      <c r="X20" s="152">
        <v>100</v>
      </c>
      <c r="Y20" s="152">
        <v>83.954080000000005</v>
      </c>
      <c r="Z20" s="188">
        <v>0.83954080000000009</v>
      </c>
      <c r="AA20" s="152">
        <v>16.045920000000002</v>
      </c>
      <c r="AB20" s="152">
        <v>0</v>
      </c>
      <c r="AC20" s="152">
        <v>0</v>
      </c>
      <c r="AD20" s="152">
        <v>100</v>
      </c>
      <c r="AE20" s="186">
        <v>8.886800000000008</v>
      </c>
      <c r="AF20" s="183">
        <v>0.17773600000000017</v>
      </c>
      <c r="AG20" s="186">
        <v>28.1614</v>
      </c>
      <c r="AH20" s="183">
        <v>0.28161400000000003</v>
      </c>
      <c r="AJ20" s="152">
        <v>500</v>
      </c>
      <c r="AK20" s="152">
        <v>388.84248000000002</v>
      </c>
      <c r="AL20" s="188">
        <v>0.77768496000000009</v>
      </c>
      <c r="AM20" s="152">
        <v>74.759399999999999</v>
      </c>
      <c r="AN20" s="152">
        <v>13.574060000000003</v>
      </c>
      <c r="AO20" s="152">
        <v>22.824060000000003</v>
      </c>
      <c r="AP20" s="152">
        <v>1500</v>
      </c>
      <c r="AQ20" s="152">
        <v>1020.397394</v>
      </c>
      <c r="AR20" s="188">
        <v>0.66817363333333335</v>
      </c>
      <c r="AS20" s="152">
        <v>163.4958</v>
      </c>
      <c r="AT20" s="152">
        <v>207.25638600000005</v>
      </c>
      <c r="AU20" s="152">
        <v>108.85042000000001</v>
      </c>
      <c r="AW20" s="320">
        <v>12.2</v>
      </c>
      <c r="AX20" s="320">
        <v>13</v>
      </c>
      <c r="AY20" s="320">
        <v>0</v>
      </c>
      <c r="AZ20" s="320">
        <v>12.6</v>
      </c>
      <c r="BA20" s="320">
        <v>0.6482699999999999</v>
      </c>
      <c r="BB20" s="320">
        <v>0.11339999999999999</v>
      </c>
      <c r="BC20" s="320"/>
      <c r="BD20" s="320">
        <v>12.2</v>
      </c>
      <c r="BE20" s="320">
        <v>1.1529</v>
      </c>
    </row>
    <row r="21" spans="3:57" ht="15" thickBot="1" x14ac:dyDescent="0.25">
      <c r="C21" s="181">
        <v>110</v>
      </c>
      <c r="D21" s="183">
        <v>0</v>
      </c>
      <c r="E21" s="185">
        <v>55</v>
      </c>
      <c r="F21" s="181">
        <v>55</v>
      </c>
      <c r="G21" s="185">
        <v>55</v>
      </c>
      <c r="H21" s="185">
        <v>5.4331199999999997</v>
      </c>
      <c r="I21" s="185">
        <v>9.6623999999999999</v>
      </c>
      <c r="J21" s="185">
        <v>0.95040000000000013</v>
      </c>
      <c r="K21" s="181">
        <v>48</v>
      </c>
      <c r="P21" s="186">
        <v>64.045919999999995</v>
      </c>
      <c r="Q21" s="186">
        <v>0</v>
      </c>
      <c r="R21" s="183">
        <v>0.05</v>
      </c>
      <c r="S21" s="185">
        <v>0</v>
      </c>
      <c r="T21" s="185">
        <v>0</v>
      </c>
      <c r="U21" s="185">
        <v>0</v>
      </c>
      <c r="V21" s="187">
        <v>0</v>
      </c>
      <c r="X21" s="152">
        <v>110</v>
      </c>
      <c r="Y21" s="152">
        <v>93.954080000000005</v>
      </c>
      <c r="Z21" s="188">
        <v>0.854128</v>
      </c>
      <c r="AA21" s="152">
        <v>16.045920000000002</v>
      </c>
      <c r="AB21" s="152">
        <v>0</v>
      </c>
      <c r="AC21" s="152">
        <v>0</v>
      </c>
      <c r="AD21" s="152">
        <v>110</v>
      </c>
      <c r="AE21" s="186">
        <v>9.6122000000000014</v>
      </c>
      <c r="AF21" s="183">
        <v>0.19224400000000003</v>
      </c>
      <c r="AG21" s="186">
        <v>28.1614</v>
      </c>
      <c r="AH21" s="183">
        <v>0.28161400000000003</v>
      </c>
      <c r="AJ21" s="152">
        <v>550</v>
      </c>
      <c r="AK21" s="152">
        <v>422.09016000000003</v>
      </c>
      <c r="AL21" s="188">
        <v>0.76743665454545462</v>
      </c>
      <c r="AM21" s="152">
        <v>85.699799999999982</v>
      </c>
      <c r="AN21" s="152">
        <v>16.480020000000003</v>
      </c>
      <c r="AO21" s="152">
        <v>25.730020000000003</v>
      </c>
      <c r="AP21" s="152">
        <v>1550</v>
      </c>
      <c r="AQ21" s="152">
        <v>1048.8973940000001</v>
      </c>
      <c r="AR21" s="188">
        <v>0.66261255806451613</v>
      </c>
      <c r="AS21" s="152">
        <v>163.4958</v>
      </c>
      <c r="AT21" s="152">
        <v>223.75638600000005</v>
      </c>
      <c r="AU21" s="152">
        <v>113.85042000000001</v>
      </c>
      <c r="AW21" s="320">
        <v>13</v>
      </c>
      <c r="AX21" s="320">
        <v>13.8</v>
      </c>
      <c r="AY21" s="320">
        <v>0</v>
      </c>
      <c r="AZ21" s="320">
        <v>13.4</v>
      </c>
      <c r="BA21" s="320">
        <v>0.68942999999999999</v>
      </c>
      <c r="BB21" s="320">
        <v>0.1206</v>
      </c>
      <c r="BC21" s="320"/>
      <c r="BD21" s="320">
        <v>13</v>
      </c>
      <c r="BE21" s="320">
        <v>1.2261</v>
      </c>
    </row>
    <row r="22" spans="3:57" ht="15" thickBot="1" x14ac:dyDescent="0.25">
      <c r="C22" s="181">
        <v>120</v>
      </c>
      <c r="D22" s="183">
        <v>0</v>
      </c>
      <c r="E22" s="185">
        <v>55</v>
      </c>
      <c r="F22" s="181">
        <v>55</v>
      </c>
      <c r="G22" s="185">
        <v>65</v>
      </c>
      <c r="H22" s="185">
        <v>6.0505200000000006</v>
      </c>
      <c r="I22" s="185">
        <v>10.760400000000001</v>
      </c>
      <c r="J22" s="185">
        <v>1.0584</v>
      </c>
      <c r="K22" s="181">
        <v>48</v>
      </c>
      <c r="P22" s="186">
        <v>65.869320000000002</v>
      </c>
      <c r="Q22" s="186">
        <v>0</v>
      </c>
      <c r="R22" s="183">
        <v>0.05</v>
      </c>
      <c r="S22" s="185">
        <v>0</v>
      </c>
      <c r="T22" s="185">
        <v>0</v>
      </c>
      <c r="U22" s="185">
        <v>0</v>
      </c>
      <c r="V22" s="187">
        <v>0</v>
      </c>
      <c r="X22" s="152">
        <v>120</v>
      </c>
      <c r="Y22" s="152">
        <v>102.13068</v>
      </c>
      <c r="Z22" s="188">
        <v>0.85108899999999998</v>
      </c>
      <c r="AA22" s="152">
        <v>17.869320000000002</v>
      </c>
      <c r="AB22" s="152">
        <v>0</v>
      </c>
      <c r="AC22" s="152">
        <v>0</v>
      </c>
      <c r="AD22" s="152">
        <v>120</v>
      </c>
      <c r="AE22" s="186">
        <v>18.176599999999993</v>
      </c>
      <c r="AF22" s="183">
        <v>0.36353199999999986</v>
      </c>
      <c r="AG22" s="186">
        <v>27.063400000000001</v>
      </c>
      <c r="AH22" s="183">
        <v>0.27063400000000004</v>
      </c>
      <c r="AJ22" s="152">
        <v>600</v>
      </c>
      <c r="AK22" s="152">
        <v>459.714</v>
      </c>
      <c r="AL22" s="188">
        <v>0.76619000000000004</v>
      </c>
      <c r="AM22" s="152">
        <v>91.170000000000016</v>
      </c>
      <c r="AN22" s="152">
        <v>19.933</v>
      </c>
      <c r="AO22" s="152">
        <v>29.183</v>
      </c>
      <c r="AP22" s="152">
        <v>1600</v>
      </c>
      <c r="AQ22" s="152">
        <v>1074.916526</v>
      </c>
      <c r="AR22" s="188">
        <v>0.65739904999999998</v>
      </c>
      <c r="AS22" s="152">
        <v>167.84819999999999</v>
      </c>
      <c r="AT22" s="152">
        <v>238.82009400000007</v>
      </c>
      <c r="AU22" s="152">
        <v>118.41518000000002</v>
      </c>
      <c r="AW22" s="320">
        <v>13.8</v>
      </c>
      <c r="AX22" s="320">
        <v>14.6</v>
      </c>
      <c r="AY22" s="320">
        <v>0</v>
      </c>
      <c r="AZ22" s="320">
        <v>14.2</v>
      </c>
      <c r="BA22" s="320">
        <v>0.73058999999999985</v>
      </c>
      <c r="BB22" s="320">
        <v>0.1278</v>
      </c>
      <c r="BC22" s="320"/>
      <c r="BD22" s="320">
        <v>13.8</v>
      </c>
      <c r="BE22" s="320">
        <v>1.2992999999999999</v>
      </c>
    </row>
    <row r="23" spans="3:57" ht="15" thickBot="1" x14ac:dyDescent="0.25">
      <c r="C23" s="181">
        <v>130</v>
      </c>
      <c r="D23" s="183">
        <v>0</v>
      </c>
      <c r="E23" s="185">
        <v>55</v>
      </c>
      <c r="F23" s="181">
        <v>55</v>
      </c>
      <c r="G23" s="185">
        <v>75</v>
      </c>
      <c r="H23" s="185">
        <v>6.7913999999999994</v>
      </c>
      <c r="I23" s="185">
        <v>12.077999999999999</v>
      </c>
      <c r="J23" s="185">
        <v>1.1879999999999999</v>
      </c>
      <c r="K23" s="181">
        <v>48</v>
      </c>
      <c r="P23" s="186">
        <v>68.057400000000001</v>
      </c>
      <c r="Q23" s="186">
        <v>6.9425999999999988</v>
      </c>
      <c r="R23" s="183">
        <v>0.05</v>
      </c>
      <c r="S23" s="185">
        <v>0</v>
      </c>
      <c r="T23" s="185">
        <v>0.34712999999999994</v>
      </c>
      <c r="U23" s="185">
        <v>0.19425999999999988</v>
      </c>
      <c r="V23" s="187">
        <v>0.54138999999999982</v>
      </c>
      <c r="X23" s="152">
        <v>130</v>
      </c>
      <c r="Y23" s="152">
        <v>109.40121000000001</v>
      </c>
      <c r="Z23" s="188">
        <v>0.84154776923076924</v>
      </c>
      <c r="AA23" s="152">
        <v>20.057399999999998</v>
      </c>
      <c r="AB23" s="152">
        <v>0.34712999999999994</v>
      </c>
      <c r="AC23" s="152">
        <v>0.19425999999999988</v>
      </c>
      <c r="AD23" s="152">
        <v>130</v>
      </c>
      <c r="AE23" s="186">
        <v>15.447130000000001</v>
      </c>
      <c r="AF23" s="183">
        <v>0.30894260000000001</v>
      </c>
      <c r="AG23" s="186">
        <v>25.059330000000003</v>
      </c>
      <c r="AH23" s="183">
        <v>0.25059330000000002</v>
      </c>
      <c r="AJ23" s="152">
        <v>650</v>
      </c>
      <c r="AK23" s="152">
        <v>497.20186000000001</v>
      </c>
      <c r="AL23" s="188">
        <v>0.76492593846153845</v>
      </c>
      <c r="AM23" s="152">
        <v>96.640200000000007</v>
      </c>
      <c r="AN23" s="152">
        <v>23.521960000000007</v>
      </c>
      <c r="AO23" s="152">
        <v>32.635980000000004</v>
      </c>
      <c r="AP23" s="152">
        <v>1650</v>
      </c>
      <c r="AQ23" s="152">
        <v>1100.9356580000001</v>
      </c>
      <c r="AR23" s="188">
        <v>0.6525015121212121</v>
      </c>
      <c r="AS23" s="152">
        <v>172.20060000000001</v>
      </c>
      <c r="AT23" s="152">
        <v>253.88380199999997</v>
      </c>
      <c r="AU23" s="152">
        <v>122.97994</v>
      </c>
      <c r="AW23" s="320">
        <v>14.6</v>
      </c>
      <c r="AX23" s="320">
        <v>15.5</v>
      </c>
      <c r="AY23" s="320">
        <v>0</v>
      </c>
      <c r="AZ23" s="320">
        <v>15</v>
      </c>
      <c r="BA23" s="320">
        <v>0.77174999999999994</v>
      </c>
      <c r="BB23" s="320">
        <v>0.13499999999999998</v>
      </c>
      <c r="BC23" s="320"/>
      <c r="BD23" s="320">
        <v>14.6</v>
      </c>
      <c r="BE23" s="320">
        <v>1.3725000000000001</v>
      </c>
    </row>
    <row r="24" spans="3:57" ht="15" thickBot="1" x14ac:dyDescent="0.25">
      <c r="C24" s="181">
        <v>140</v>
      </c>
      <c r="D24" s="183">
        <v>0</v>
      </c>
      <c r="E24" s="185">
        <v>55</v>
      </c>
      <c r="F24" s="181">
        <v>55</v>
      </c>
      <c r="G24" s="185">
        <v>85</v>
      </c>
      <c r="H24" s="185">
        <v>7.2853200000000005</v>
      </c>
      <c r="I24" s="185">
        <v>12.956400000000002</v>
      </c>
      <c r="J24" s="185">
        <v>1.2744</v>
      </c>
      <c r="K24" s="181">
        <v>48</v>
      </c>
      <c r="P24" s="186">
        <v>69.516120000000001</v>
      </c>
      <c r="Q24" s="186">
        <v>15.483879999999999</v>
      </c>
      <c r="R24" s="183">
        <v>0.05</v>
      </c>
      <c r="S24" s="185">
        <v>0</v>
      </c>
      <c r="T24" s="185">
        <v>0.77419400000000005</v>
      </c>
      <c r="U24" s="185">
        <v>1.0483880000000001</v>
      </c>
      <c r="V24" s="187">
        <v>1.8225820000000001</v>
      </c>
      <c r="X24" s="152">
        <v>140</v>
      </c>
      <c r="Y24" s="152">
        <v>116.661298</v>
      </c>
      <c r="Z24" s="188">
        <v>0.83329498571428573</v>
      </c>
      <c r="AA24" s="152">
        <v>21.516120000000001</v>
      </c>
      <c r="AB24" s="152">
        <v>0.77419400000000005</v>
      </c>
      <c r="AC24" s="152">
        <v>1.0483880000000001</v>
      </c>
      <c r="AD24" s="152">
        <v>140</v>
      </c>
      <c r="AE24" s="186">
        <v>14.530618000000004</v>
      </c>
      <c r="AF24" s="183">
        <v>0.29061236000000007</v>
      </c>
      <c r="AG24" s="186">
        <v>32.707217999999997</v>
      </c>
      <c r="AH24" s="183">
        <v>0.32707217999999999</v>
      </c>
      <c r="AJ24" s="152">
        <v>700</v>
      </c>
      <c r="AK24" s="152">
        <v>526.34357999999997</v>
      </c>
      <c r="AL24" s="188">
        <v>0.75191940000000002</v>
      </c>
      <c r="AM24" s="152">
        <v>107.5806</v>
      </c>
      <c r="AN24" s="152">
        <v>30.133880000000005</v>
      </c>
      <c r="AO24" s="152">
        <v>35.941940000000002</v>
      </c>
      <c r="AP24" s="152">
        <v>1700</v>
      </c>
      <c r="AQ24" s="152">
        <v>1129.4356580000001</v>
      </c>
      <c r="AR24" s="188">
        <v>0.64789206470588234</v>
      </c>
      <c r="AS24" s="152">
        <v>172.20060000000001</v>
      </c>
      <c r="AT24" s="152">
        <v>270.38380199999995</v>
      </c>
      <c r="AU24" s="152">
        <v>127.97994</v>
      </c>
      <c r="AW24" s="320">
        <v>15.5</v>
      </c>
      <c r="AX24" s="320">
        <v>16.5</v>
      </c>
      <c r="AY24" s="320">
        <v>0</v>
      </c>
      <c r="AZ24" s="320">
        <v>16</v>
      </c>
      <c r="BA24" s="320">
        <v>0.82319999999999993</v>
      </c>
      <c r="BB24" s="320">
        <v>0.14399999999999999</v>
      </c>
      <c r="BC24" s="320"/>
      <c r="BD24" s="320">
        <v>15.5</v>
      </c>
      <c r="BE24" s="320">
        <v>1.464</v>
      </c>
    </row>
    <row r="25" spans="3:57" ht="15" thickBot="1" x14ac:dyDescent="0.25">
      <c r="C25" s="181">
        <v>150</v>
      </c>
      <c r="D25" s="183">
        <v>0</v>
      </c>
      <c r="E25" s="185">
        <v>55</v>
      </c>
      <c r="F25" s="181">
        <v>55</v>
      </c>
      <c r="G25" s="185">
        <v>95</v>
      </c>
      <c r="H25" s="185">
        <v>7.7792399999999988</v>
      </c>
      <c r="I25" s="185">
        <v>13.834800000000001</v>
      </c>
      <c r="J25" s="185">
        <v>1.3607999999999998</v>
      </c>
      <c r="K25" s="181">
        <v>48</v>
      </c>
      <c r="P25" s="186">
        <v>70.97484</v>
      </c>
      <c r="Q25" s="186">
        <v>24.02516</v>
      </c>
      <c r="R25" s="183">
        <v>0.05</v>
      </c>
      <c r="S25" s="185">
        <v>0</v>
      </c>
      <c r="T25" s="185">
        <v>1.2012580000000002</v>
      </c>
      <c r="U25" s="185">
        <v>1.9025160000000003</v>
      </c>
      <c r="V25" s="187">
        <v>3.1037740000000005</v>
      </c>
      <c r="X25" s="152">
        <v>150</v>
      </c>
      <c r="Y25" s="152">
        <v>123.921386</v>
      </c>
      <c r="Z25" s="188">
        <v>0.8261425733333333</v>
      </c>
      <c r="AA25" s="152">
        <v>22.97484</v>
      </c>
      <c r="AB25" s="152">
        <v>1.2012580000000002</v>
      </c>
      <c r="AC25" s="152">
        <v>1.9025160000000003</v>
      </c>
      <c r="AD25" s="152">
        <v>150</v>
      </c>
      <c r="AE25" s="186">
        <v>14.520175999999992</v>
      </c>
      <c r="AF25" s="183">
        <v>0.29040351999999986</v>
      </c>
      <c r="AG25" s="186">
        <v>29.967305999999994</v>
      </c>
      <c r="AH25" s="183">
        <v>0.29967305999999994</v>
      </c>
      <c r="AJ25" s="152">
        <v>750</v>
      </c>
      <c r="AK25" s="152">
        <v>559.01443999999992</v>
      </c>
      <c r="AL25" s="188">
        <v>0.74535258666666659</v>
      </c>
      <c r="AM25" s="152">
        <v>113.05079999999998</v>
      </c>
      <c r="AN25" s="152">
        <v>38.039840000000012</v>
      </c>
      <c r="AO25" s="152">
        <v>39.894920000000006</v>
      </c>
      <c r="AP25" s="152">
        <v>1750</v>
      </c>
      <c r="AQ25" s="152">
        <v>1157.9356580000001</v>
      </c>
      <c r="AR25" s="188">
        <v>0.64354601428571423</v>
      </c>
      <c r="AS25" s="152">
        <v>172.20060000000001</v>
      </c>
      <c r="AT25" s="152">
        <v>286.88380199999995</v>
      </c>
      <c r="AU25" s="152">
        <v>132.97994</v>
      </c>
      <c r="AW25" s="320">
        <v>16.5</v>
      </c>
      <c r="AX25" s="320">
        <v>17.5</v>
      </c>
      <c r="AY25" s="320">
        <v>0</v>
      </c>
      <c r="AZ25" s="320">
        <v>17</v>
      </c>
      <c r="BA25" s="320">
        <v>0.87464999999999993</v>
      </c>
      <c r="BB25" s="320">
        <v>0.153</v>
      </c>
      <c r="BC25" s="320"/>
      <c r="BD25" s="320">
        <v>16.5</v>
      </c>
      <c r="BE25" s="320">
        <v>1.5554999999999999</v>
      </c>
    </row>
    <row r="26" spans="3:57" ht="15" thickBot="1" x14ac:dyDescent="0.25">
      <c r="C26" s="181">
        <v>160</v>
      </c>
      <c r="D26" s="183">
        <v>0</v>
      </c>
      <c r="E26" s="185">
        <v>55</v>
      </c>
      <c r="F26" s="181">
        <v>55</v>
      </c>
      <c r="G26" s="185">
        <v>105</v>
      </c>
      <c r="H26" s="185">
        <v>8.2731600000000007</v>
      </c>
      <c r="I26" s="185">
        <v>14.713200000000001</v>
      </c>
      <c r="J26" s="185">
        <v>1.4472</v>
      </c>
      <c r="K26" s="181">
        <v>48</v>
      </c>
      <c r="P26" s="186">
        <v>72.43356</v>
      </c>
      <c r="Q26" s="186">
        <v>32.56644</v>
      </c>
      <c r="R26" s="183">
        <v>0.05</v>
      </c>
      <c r="S26" s="185">
        <v>0</v>
      </c>
      <c r="T26" s="185">
        <v>1.628322</v>
      </c>
      <c r="U26" s="185">
        <v>2.7566440000000001</v>
      </c>
      <c r="V26" s="187">
        <v>4.3849660000000004</v>
      </c>
      <c r="X26" s="152">
        <v>160</v>
      </c>
      <c r="Y26" s="152">
        <v>131.18147400000001</v>
      </c>
      <c r="Z26" s="188">
        <v>0.8198842125000001</v>
      </c>
      <c r="AA26" s="152">
        <v>24.43356</v>
      </c>
      <c r="AB26" s="152">
        <v>1.628322</v>
      </c>
      <c r="AC26" s="152">
        <v>2.7566440000000001</v>
      </c>
      <c r="AD26" s="152">
        <v>160</v>
      </c>
      <c r="AE26" s="186">
        <v>14.520176000000006</v>
      </c>
      <c r="AF26" s="183">
        <v>0.29040352000000014</v>
      </c>
      <c r="AG26" s="186">
        <v>29.05079400000001</v>
      </c>
      <c r="AH26" s="183">
        <v>0.29050794000000013</v>
      </c>
      <c r="AJ26" s="152">
        <v>800</v>
      </c>
      <c r="AK26" s="152">
        <v>590.16196000000002</v>
      </c>
      <c r="AL26" s="188">
        <v>0.73770245000000001</v>
      </c>
      <c r="AM26" s="152">
        <v>120.6972</v>
      </c>
      <c r="AN26" s="152">
        <v>45.510559999999998</v>
      </c>
      <c r="AO26" s="152">
        <v>43.630279999999999</v>
      </c>
      <c r="AP26" s="152">
        <v>1800</v>
      </c>
      <c r="AQ26" s="152">
        <v>1186.4356580000001</v>
      </c>
      <c r="AR26" s="188">
        <v>0.63944141111111119</v>
      </c>
      <c r="AS26" s="152">
        <v>172.20060000000001</v>
      </c>
      <c r="AT26" s="152">
        <v>303.38380199999995</v>
      </c>
      <c r="AU26" s="152">
        <v>137.97994</v>
      </c>
      <c r="AW26" s="320">
        <v>17.5</v>
      </c>
      <c r="AX26" s="320">
        <v>18.5</v>
      </c>
      <c r="AY26" s="320">
        <v>0</v>
      </c>
      <c r="AZ26" s="320">
        <v>18</v>
      </c>
      <c r="BA26" s="320">
        <v>0.92609999999999992</v>
      </c>
      <c r="BB26" s="320">
        <v>0.16199999999999998</v>
      </c>
      <c r="BC26" s="320"/>
      <c r="BD26" s="320">
        <v>17.5</v>
      </c>
      <c r="BE26" s="320">
        <v>1.647</v>
      </c>
    </row>
    <row r="27" spans="3:57" ht="15" thickBot="1" x14ac:dyDescent="0.25">
      <c r="C27" s="181">
        <v>170</v>
      </c>
      <c r="D27" s="183">
        <v>0.4</v>
      </c>
      <c r="E27" s="185">
        <v>-10</v>
      </c>
      <c r="F27" s="181">
        <v>58</v>
      </c>
      <c r="G27" s="185">
        <v>112</v>
      </c>
      <c r="H27" s="185">
        <v>8.7670799999999982</v>
      </c>
      <c r="I27" s="185">
        <v>15.5916</v>
      </c>
      <c r="J27" s="185">
        <v>1.5335999999999999</v>
      </c>
      <c r="K27" s="181">
        <v>48</v>
      </c>
      <c r="P27" s="186">
        <v>73.89228</v>
      </c>
      <c r="Q27" s="186">
        <v>38.10772</v>
      </c>
      <c r="R27" s="183">
        <v>0.05</v>
      </c>
      <c r="S27" s="185">
        <v>0</v>
      </c>
      <c r="T27" s="185">
        <v>1.905386</v>
      </c>
      <c r="U27" s="185">
        <v>3.310772</v>
      </c>
      <c r="V27" s="187">
        <v>5.2161580000000001</v>
      </c>
      <c r="X27" s="152">
        <v>170</v>
      </c>
      <c r="Y27" s="152">
        <v>138.89156199999999</v>
      </c>
      <c r="Z27" s="188">
        <v>0.81700918823529411</v>
      </c>
      <c r="AA27" s="152">
        <v>25.89228</v>
      </c>
      <c r="AB27" s="152">
        <v>1.905386</v>
      </c>
      <c r="AC27" s="152">
        <v>3.310772</v>
      </c>
      <c r="AD27" s="152">
        <v>170</v>
      </c>
      <c r="AE27" s="186">
        <v>14.970175999999995</v>
      </c>
      <c r="AF27" s="183">
        <v>0.29940351999999992</v>
      </c>
      <c r="AG27" s="186">
        <v>29.490351999999987</v>
      </c>
      <c r="AH27" s="183">
        <v>0.29490351999999986</v>
      </c>
      <c r="AJ27" s="152">
        <v>850</v>
      </c>
      <c r="AK27" s="152">
        <v>0</v>
      </c>
      <c r="AL27" s="188">
        <v>0</v>
      </c>
      <c r="AM27" s="152">
        <v>0</v>
      </c>
      <c r="AN27" s="152">
        <v>0</v>
      </c>
      <c r="AO27" s="152">
        <v>0</v>
      </c>
      <c r="AP27" s="152">
        <v>1850</v>
      </c>
      <c r="AQ27" s="152">
        <v>1214.9356580000001</v>
      </c>
      <c r="AR27" s="188">
        <v>0.63555867837837832</v>
      </c>
      <c r="AS27" s="152">
        <v>172.20060000000001</v>
      </c>
      <c r="AT27" s="152">
        <v>319.88380199999995</v>
      </c>
      <c r="AU27" s="152">
        <v>142.97994</v>
      </c>
      <c r="AW27" s="320">
        <v>18.5</v>
      </c>
      <c r="AX27" s="320">
        <v>19.5</v>
      </c>
      <c r="AY27" s="320">
        <v>0</v>
      </c>
      <c r="AZ27" s="320">
        <v>19</v>
      </c>
      <c r="BA27" s="320">
        <v>0.97754999999999992</v>
      </c>
      <c r="BB27" s="320">
        <v>0.17099999999999999</v>
      </c>
      <c r="BC27" s="320"/>
      <c r="BD27" s="320">
        <v>18.5</v>
      </c>
      <c r="BE27" s="320">
        <v>1.7384999999999999</v>
      </c>
    </row>
    <row r="28" spans="3:57" ht="15" thickBot="1" x14ac:dyDescent="0.25">
      <c r="C28" s="181">
        <v>180</v>
      </c>
      <c r="D28" s="183">
        <v>0.3</v>
      </c>
      <c r="E28" s="185">
        <v>8</v>
      </c>
      <c r="F28" s="181">
        <v>62</v>
      </c>
      <c r="G28" s="185">
        <v>118</v>
      </c>
      <c r="H28" s="185">
        <v>9.2609999999999992</v>
      </c>
      <c r="I28" s="185">
        <v>16.47</v>
      </c>
      <c r="J28" s="185">
        <v>1.6199999999999997</v>
      </c>
      <c r="K28" s="181">
        <v>48</v>
      </c>
      <c r="P28" s="186">
        <v>75.350999999999999</v>
      </c>
      <c r="Q28" s="186">
        <v>42.649000000000001</v>
      </c>
      <c r="R28" s="183">
        <v>0.05</v>
      </c>
      <c r="S28" s="185">
        <v>0</v>
      </c>
      <c r="T28" s="185">
        <v>2.13245</v>
      </c>
      <c r="U28" s="185">
        <v>3.7648999999999999</v>
      </c>
      <c r="V28" s="187">
        <v>5.8973499999999994</v>
      </c>
      <c r="X28" s="152">
        <v>180</v>
      </c>
      <c r="Y28" s="152">
        <v>146.75165000000001</v>
      </c>
      <c r="Z28" s="188">
        <v>0.81528694444444449</v>
      </c>
      <c r="AA28" s="152">
        <v>27.350999999999999</v>
      </c>
      <c r="AB28" s="152">
        <v>2.13245</v>
      </c>
      <c r="AC28" s="152">
        <v>3.7648999999999999</v>
      </c>
      <c r="AD28" s="152">
        <v>180</v>
      </c>
      <c r="AE28" s="186">
        <v>15.570176000000004</v>
      </c>
      <c r="AF28" s="183">
        <v>0.31140352000000004</v>
      </c>
      <c r="AG28" s="186">
        <v>30.09035200000001</v>
      </c>
      <c r="AH28" s="183">
        <v>0.30090352000000009</v>
      </c>
      <c r="AJ28" s="152">
        <v>900</v>
      </c>
      <c r="AK28" s="152">
        <v>658.10750000000007</v>
      </c>
      <c r="AL28" s="188">
        <v>0.73123055555555561</v>
      </c>
      <c r="AM28" s="152">
        <v>125.77499999999999</v>
      </c>
      <c r="AN28" s="152">
        <v>63.495000000000005</v>
      </c>
      <c r="AO28" s="152">
        <v>52.622500000000002</v>
      </c>
      <c r="AP28" s="152">
        <v>1900</v>
      </c>
      <c r="AQ28" s="152">
        <v>1243.4356580000001</v>
      </c>
      <c r="AR28" s="188">
        <v>0.63188029999999995</v>
      </c>
      <c r="AS28" s="152">
        <v>172.20060000000001</v>
      </c>
      <c r="AT28" s="152">
        <v>336.38380199999995</v>
      </c>
      <c r="AU28" s="152">
        <v>147.97994</v>
      </c>
      <c r="AW28" s="320">
        <v>19.5</v>
      </c>
      <c r="AX28" s="320">
        <v>21</v>
      </c>
      <c r="AY28" s="320">
        <v>0</v>
      </c>
      <c r="AZ28" s="320">
        <v>20</v>
      </c>
      <c r="BA28" s="320">
        <v>1.0289999999999999</v>
      </c>
      <c r="BB28" s="320">
        <v>0.18</v>
      </c>
      <c r="BC28" s="320"/>
      <c r="BD28" s="320">
        <v>19.5</v>
      </c>
      <c r="BE28" s="320">
        <v>1.83</v>
      </c>
    </row>
    <row r="29" spans="3:57" ht="15" thickBot="1" x14ac:dyDescent="0.25">
      <c r="C29" s="181">
        <v>190</v>
      </c>
      <c r="D29" s="183">
        <v>0.3</v>
      </c>
      <c r="E29" s="185">
        <v>8</v>
      </c>
      <c r="F29" s="181">
        <v>65</v>
      </c>
      <c r="G29" s="185">
        <v>125</v>
      </c>
      <c r="H29" s="185">
        <v>9.8783999999999992</v>
      </c>
      <c r="I29" s="185">
        <v>17.567999999999998</v>
      </c>
      <c r="J29" s="185">
        <v>1.7279999999999998</v>
      </c>
      <c r="K29" s="181">
        <v>48</v>
      </c>
      <c r="P29" s="186">
        <v>77.174399999999991</v>
      </c>
      <c r="Q29" s="186">
        <v>47.825600000000009</v>
      </c>
      <c r="R29" s="183">
        <v>0.05</v>
      </c>
      <c r="S29" s="185">
        <v>0</v>
      </c>
      <c r="T29" s="185">
        <v>2.3912800000000005</v>
      </c>
      <c r="U29" s="185">
        <v>4.282560000000001</v>
      </c>
      <c r="V29" s="187">
        <v>6.673840000000002</v>
      </c>
      <c r="X29" s="152">
        <v>190</v>
      </c>
      <c r="Y29" s="152">
        <v>154.15176</v>
      </c>
      <c r="Z29" s="188">
        <v>0.81132505263157895</v>
      </c>
      <c r="AA29" s="152">
        <v>29.174399999999999</v>
      </c>
      <c r="AB29" s="152">
        <v>2.3912800000000005</v>
      </c>
      <c r="AC29" s="152">
        <v>4.282560000000001</v>
      </c>
      <c r="AD29" s="152">
        <v>190</v>
      </c>
      <c r="AE29" s="186">
        <v>15.260198000000003</v>
      </c>
      <c r="AF29" s="183">
        <v>0.30520396000000005</v>
      </c>
      <c r="AG29" s="186">
        <v>30.230373999999998</v>
      </c>
      <c r="AH29" s="183">
        <v>0.30230373999999999</v>
      </c>
      <c r="AJ29" s="152">
        <v>950</v>
      </c>
      <c r="AK29" s="152">
        <v>691.07637999999997</v>
      </c>
      <c r="AL29" s="188">
        <v>0.72744882105263153</v>
      </c>
      <c r="AM29" s="152">
        <v>128.67660000000001</v>
      </c>
      <c r="AN29" s="152">
        <v>72.914680000000004</v>
      </c>
      <c r="AO29" s="152">
        <v>57.332340000000002</v>
      </c>
      <c r="AP29" s="152">
        <v>1950</v>
      </c>
      <c r="AQ29" s="152">
        <v>1271.9356580000001</v>
      </c>
      <c r="AR29" s="188">
        <v>0.62839055641025632</v>
      </c>
      <c r="AS29" s="152">
        <v>172.20060000000001</v>
      </c>
      <c r="AT29" s="152">
        <v>352.88380199999995</v>
      </c>
      <c r="AU29" s="152">
        <v>152.97994</v>
      </c>
      <c r="AW29" s="320">
        <v>21</v>
      </c>
      <c r="AX29" s="320">
        <v>23</v>
      </c>
      <c r="AY29" s="320">
        <v>0</v>
      </c>
      <c r="AZ29" s="320">
        <v>22</v>
      </c>
      <c r="BA29" s="320">
        <v>1.1318999999999999</v>
      </c>
      <c r="BB29" s="320">
        <v>0.19799999999999998</v>
      </c>
      <c r="BC29" s="320"/>
      <c r="BD29" s="320">
        <v>21</v>
      </c>
      <c r="BE29" s="320">
        <v>2.0129999999999999</v>
      </c>
    </row>
    <row r="30" spans="3:57" ht="15" thickBot="1" x14ac:dyDescent="0.25">
      <c r="C30" s="181">
        <v>200</v>
      </c>
      <c r="D30" s="183">
        <v>0.3</v>
      </c>
      <c r="E30" s="185">
        <v>8</v>
      </c>
      <c r="F30" s="181">
        <v>68</v>
      </c>
      <c r="G30" s="185">
        <v>132</v>
      </c>
      <c r="H30" s="185">
        <v>10.495799999999999</v>
      </c>
      <c r="I30" s="185">
        <v>18.665999999999997</v>
      </c>
      <c r="J30" s="185">
        <v>1.8359999999999999</v>
      </c>
      <c r="K30" s="181">
        <v>48</v>
      </c>
      <c r="P30" s="186">
        <v>78.997799999999998</v>
      </c>
      <c r="Q30" s="186">
        <v>53.002200000000002</v>
      </c>
      <c r="R30" s="183">
        <v>0.05</v>
      </c>
      <c r="S30" s="185">
        <v>0</v>
      </c>
      <c r="T30" s="185">
        <v>2.6501100000000002</v>
      </c>
      <c r="U30" s="185">
        <v>4.8002200000000004</v>
      </c>
      <c r="V30" s="187">
        <v>7.450330000000001</v>
      </c>
      <c r="X30" s="152">
        <v>200</v>
      </c>
      <c r="Y30" s="152">
        <v>161.55187000000001</v>
      </c>
      <c r="Z30" s="188">
        <v>0.80775934999999999</v>
      </c>
      <c r="AA30" s="152">
        <v>30.997799999999994</v>
      </c>
      <c r="AB30" s="152">
        <v>2.6501100000000002</v>
      </c>
      <c r="AC30" s="152">
        <v>4.8002200000000004</v>
      </c>
      <c r="AD30" s="152">
        <v>200</v>
      </c>
      <c r="AE30" s="186">
        <v>14.800219999999996</v>
      </c>
      <c r="AF30" s="183">
        <v>0.29600439999999995</v>
      </c>
      <c r="AG30" s="186">
        <v>30.370396</v>
      </c>
      <c r="AH30" s="183">
        <v>0.30370396</v>
      </c>
      <c r="AJ30" s="152">
        <v>1000</v>
      </c>
      <c r="AK30" s="152">
        <v>724.04525999999998</v>
      </c>
      <c r="AL30" s="188">
        <v>0.72404526000000002</v>
      </c>
      <c r="AM30" s="152">
        <v>131.57820000000001</v>
      </c>
      <c r="AN30" s="152">
        <v>82.334360000000004</v>
      </c>
      <c r="AO30" s="152">
        <v>62.042180000000002</v>
      </c>
      <c r="AP30" s="152">
        <v>2000</v>
      </c>
      <c r="AQ30" s="152">
        <v>1300.4356580000001</v>
      </c>
      <c r="AR30" s="188">
        <v>0.6250753</v>
      </c>
      <c r="AS30" s="152">
        <v>172.20060000000001</v>
      </c>
      <c r="AT30" s="152">
        <v>369.38380199999995</v>
      </c>
      <c r="AU30" s="152">
        <v>157.97994</v>
      </c>
      <c r="AW30" s="320">
        <v>23</v>
      </c>
      <c r="AX30" s="320">
        <v>25</v>
      </c>
      <c r="AY30" s="320">
        <v>0</v>
      </c>
      <c r="AZ30" s="320">
        <v>24</v>
      </c>
      <c r="BA30" s="320">
        <v>1.2347999999999999</v>
      </c>
      <c r="BB30" s="320">
        <v>0.21599999999999997</v>
      </c>
      <c r="BC30" s="320"/>
      <c r="BD30" s="320">
        <v>23</v>
      </c>
      <c r="BE30" s="320">
        <v>2.1959999999999997</v>
      </c>
    </row>
    <row r="31" spans="3:57" ht="15" thickBot="1" x14ac:dyDescent="0.25">
      <c r="C31" s="181">
        <v>210</v>
      </c>
      <c r="D31" s="183">
        <v>0.3</v>
      </c>
      <c r="E31" s="185">
        <v>8</v>
      </c>
      <c r="F31" s="181">
        <v>71</v>
      </c>
      <c r="G31" s="185">
        <v>139</v>
      </c>
      <c r="H31" s="185">
        <v>11.113199999999999</v>
      </c>
      <c r="I31" s="185">
        <v>19.763999999999999</v>
      </c>
      <c r="J31" s="185">
        <v>1.9439999999999997</v>
      </c>
      <c r="K31" s="181">
        <v>48</v>
      </c>
      <c r="P31" s="186">
        <v>80.821200000000005</v>
      </c>
      <c r="Q31" s="186">
        <v>58.178799999999995</v>
      </c>
      <c r="R31" s="183">
        <v>0.05</v>
      </c>
      <c r="S31" s="185">
        <v>0</v>
      </c>
      <c r="T31" s="185">
        <v>2.9089399999999999</v>
      </c>
      <c r="U31" s="185">
        <v>5.3178799999999997</v>
      </c>
      <c r="V31" s="187">
        <v>8.22682</v>
      </c>
      <c r="X31" s="152">
        <v>210</v>
      </c>
      <c r="Y31" s="152">
        <v>168.95197999999999</v>
      </c>
      <c r="Z31" s="188">
        <v>0.80453323809523802</v>
      </c>
      <c r="AA31" s="152">
        <v>32.821199999999997</v>
      </c>
      <c r="AB31" s="152">
        <v>2.9089399999999999</v>
      </c>
      <c r="AC31" s="152">
        <v>5.3178799999999997</v>
      </c>
      <c r="AD31" s="152">
        <v>210</v>
      </c>
      <c r="AE31" s="186">
        <v>14.800219999999996</v>
      </c>
      <c r="AF31" s="183">
        <v>0.29600439999999995</v>
      </c>
      <c r="AG31" s="186">
        <v>30.060417999999999</v>
      </c>
      <c r="AH31" s="183">
        <v>0.30060418</v>
      </c>
      <c r="AW31" s="320">
        <v>25</v>
      </c>
      <c r="AX31" s="320">
        <v>27</v>
      </c>
      <c r="AY31" s="320">
        <v>0</v>
      </c>
      <c r="AZ31" s="320">
        <v>26</v>
      </c>
      <c r="BA31" s="320">
        <v>1.3376999999999999</v>
      </c>
      <c r="BB31" s="320">
        <v>0.23399999999999999</v>
      </c>
      <c r="BC31" s="320"/>
      <c r="BD31" s="320">
        <v>25</v>
      </c>
      <c r="BE31" s="320">
        <v>2.379</v>
      </c>
    </row>
    <row r="32" spans="3:57" ht="15" thickBot="1" x14ac:dyDescent="0.25">
      <c r="C32" s="181">
        <v>220</v>
      </c>
      <c r="D32" s="183">
        <v>0.3</v>
      </c>
      <c r="E32" s="185">
        <v>8</v>
      </c>
      <c r="F32" s="181">
        <v>74</v>
      </c>
      <c r="G32" s="185">
        <v>146</v>
      </c>
      <c r="H32" s="185">
        <v>11.113199999999999</v>
      </c>
      <c r="I32" s="185">
        <v>19.763999999999999</v>
      </c>
      <c r="J32" s="185">
        <v>1.9439999999999997</v>
      </c>
      <c r="K32" s="181">
        <v>48</v>
      </c>
      <c r="P32" s="186">
        <v>80.821200000000005</v>
      </c>
      <c r="Q32" s="186">
        <v>65.178799999999995</v>
      </c>
      <c r="R32" s="183">
        <v>0.05</v>
      </c>
      <c r="S32" s="185">
        <v>0</v>
      </c>
      <c r="T32" s="185">
        <v>3.2589399999999999</v>
      </c>
      <c r="U32" s="185">
        <v>6.0178799999999999</v>
      </c>
      <c r="V32" s="187">
        <v>9.2768200000000007</v>
      </c>
      <c r="X32" s="152">
        <v>220</v>
      </c>
      <c r="Y32" s="152">
        <v>177.90198000000001</v>
      </c>
      <c r="Z32" s="188">
        <v>0.80864536363636363</v>
      </c>
      <c r="AA32" s="152">
        <v>32.821199999999997</v>
      </c>
      <c r="AB32" s="152">
        <v>3.2589399999999999</v>
      </c>
      <c r="AC32" s="152">
        <v>6.0178799999999999</v>
      </c>
      <c r="AD32" s="152">
        <v>220</v>
      </c>
      <c r="AE32" s="186">
        <v>16.350110000000001</v>
      </c>
      <c r="AF32" s="183">
        <v>0.32700220000000002</v>
      </c>
      <c r="AG32" s="186">
        <v>31.150329999999997</v>
      </c>
      <c r="AH32" s="183">
        <v>0.31150329999999998</v>
      </c>
      <c r="AW32" s="320">
        <v>27</v>
      </c>
      <c r="AX32" s="320">
        <v>29</v>
      </c>
      <c r="AY32" s="320">
        <v>0</v>
      </c>
      <c r="AZ32" s="320">
        <v>28</v>
      </c>
      <c r="BA32" s="320">
        <v>1.4405999999999999</v>
      </c>
      <c r="BB32" s="320">
        <v>0.252</v>
      </c>
      <c r="BC32" s="320"/>
      <c r="BD32" s="320">
        <v>27</v>
      </c>
      <c r="BE32" s="320">
        <v>2.5619999999999998</v>
      </c>
    </row>
    <row r="33" spans="3:57" ht="15" thickBot="1" x14ac:dyDescent="0.25">
      <c r="C33" s="181">
        <v>230</v>
      </c>
      <c r="D33" s="183">
        <v>0.3</v>
      </c>
      <c r="E33" s="185">
        <v>8</v>
      </c>
      <c r="F33" s="181">
        <v>77</v>
      </c>
      <c r="G33" s="185">
        <v>153</v>
      </c>
      <c r="H33" s="185">
        <v>11.730599999999999</v>
      </c>
      <c r="I33" s="185">
        <v>20.861999999999998</v>
      </c>
      <c r="J33" s="185">
        <v>2.0519999999999996</v>
      </c>
      <c r="K33" s="181">
        <v>48</v>
      </c>
      <c r="P33" s="186">
        <v>82.644599999999997</v>
      </c>
      <c r="Q33" s="186">
        <v>70.355400000000003</v>
      </c>
      <c r="R33" s="183">
        <v>0.05</v>
      </c>
      <c r="S33" s="185">
        <v>0</v>
      </c>
      <c r="T33" s="185">
        <v>3.5177700000000005</v>
      </c>
      <c r="U33" s="185">
        <v>6.535540000000001</v>
      </c>
      <c r="V33" s="187">
        <v>10.053310000000002</v>
      </c>
      <c r="X33" s="152">
        <v>230</v>
      </c>
      <c r="Y33" s="152">
        <v>185.30209000000002</v>
      </c>
      <c r="Z33" s="188">
        <v>0.80566126086956535</v>
      </c>
      <c r="AA33" s="152">
        <v>34.644599999999997</v>
      </c>
      <c r="AB33" s="152">
        <v>3.5177700000000005</v>
      </c>
      <c r="AC33" s="152">
        <v>6.535540000000001</v>
      </c>
      <c r="AD33" s="152">
        <v>230</v>
      </c>
      <c r="AE33" s="186">
        <v>16.350110000000029</v>
      </c>
      <c r="AF33" s="183">
        <v>0.32700220000000058</v>
      </c>
      <c r="AG33" s="186">
        <v>31.150330000000025</v>
      </c>
      <c r="AH33" s="183">
        <v>0.31150330000000026</v>
      </c>
      <c r="AW33" s="320">
        <v>29</v>
      </c>
      <c r="AX33" s="320">
        <v>1</v>
      </c>
      <c r="AY33" s="320">
        <v>0</v>
      </c>
      <c r="AZ33" s="320">
        <v>30</v>
      </c>
      <c r="BA33" s="320">
        <v>1.5434999999999999</v>
      </c>
      <c r="BB33" s="320">
        <v>0.26999999999999996</v>
      </c>
      <c r="BC33" s="320"/>
      <c r="BD33" s="320">
        <v>29</v>
      </c>
      <c r="BE33" s="320">
        <v>2.7450000000000001</v>
      </c>
    </row>
    <row r="34" spans="3:57" ht="15" thickBot="1" x14ac:dyDescent="0.25">
      <c r="C34" s="181">
        <v>240</v>
      </c>
      <c r="D34" s="183">
        <v>0.3</v>
      </c>
      <c r="E34" s="185">
        <v>8</v>
      </c>
      <c r="F34" s="181">
        <v>80</v>
      </c>
      <c r="G34" s="185">
        <v>160</v>
      </c>
      <c r="H34" s="185">
        <v>12.347999999999999</v>
      </c>
      <c r="I34" s="185">
        <v>21.96</v>
      </c>
      <c r="J34" s="185">
        <v>2.16</v>
      </c>
      <c r="K34" s="181">
        <v>48</v>
      </c>
      <c r="P34" s="186">
        <v>84.468000000000004</v>
      </c>
      <c r="Q34" s="186">
        <v>75.531999999999996</v>
      </c>
      <c r="R34" s="183">
        <v>0.05</v>
      </c>
      <c r="S34" s="185">
        <v>0</v>
      </c>
      <c r="T34" s="185">
        <v>3.7766000000000002</v>
      </c>
      <c r="U34" s="185">
        <v>7.0532000000000004</v>
      </c>
      <c r="V34" s="187">
        <v>10.829800000000001</v>
      </c>
      <c r="X34" s="152">
        <v>240</v>
      </c>
      <c r="Y34" s="152">
        <v>192.7022</v>
      </c>
      <c r="Z34" s="188">
        <v>0.80292583333333334</v>
      </c>
      <c r="AA34" s="152">
        <v>36.468000000000004</v>
      </c>
      <c r="AB34" s="152">
        <v>3.7766000000000002</v>
      </c>
      <c r="AC34" s="152">
        <v>7.0532000000000004</v>
      </c>
      <c r="AD34" s="152">
        <v>240</v>
      </c>
      <c r="AE34" s="186">
        <v>14.800219999999996</v>
      </c>
      <c r="AF34" s="183">
        <v>0.29600439999999995</v>
      </c>
      <c r="AG34" s="186">
        <v>31.150329999999997</v>
      </c>
      <c r="AH34" s="183">
        <v>0.31150329999999998</v>
      </c>
      <c r="AW34" s="320">
        <v>1</v>
      </c>
      <c r="AX34" s="320">
        <v>33</v>
      </c>
      <c r="AY34" s="320">
        <v>0</v>
      </c>
      <c r="AZ34" s="320">
        <v>32</v>
      </c>
      <c r="BA34" s="320">
        <v>1.6463999999999999</v>
      </c>
      <c r="BB34" s="320">
        <v>0.28799999999999998</v>
      </c>
      <c r="BC34" s="320"/>
      <c r="BD34" s="320">
        <v>1</v>
      </c>
      <c r="BE34" s="320">
        <v>2.9279999999999999</v>
      </c>
    </row>
    <row r="35" spans="3:57" ht="15" thickBot="1" x14ac:dyDescent="0.25">
      <c r="C35" s="181">
        <v>250</v>
      </c>
      <c r="D35" s="183">
        <v>0.3</v>
      </c>
      <c r="E35" s="185">
        <v>8</v>
      </c>
      <c r="F35" s="181">
        <v>83</v>
      </c>
      <c r="G35" s="185">
        <v>167</v>
      </c>
      <c r="H35" s="185">
        <v>12.347999999999999</v>
      </c>
      <c r="I35" s="185">
        <v>21.96</v>
      </c>
      <c r="J35" s="185">
        <v>2.16</v>
      </c>
      <c r="K35" s="181">
        <v>48</v>
      </c>
      <c r="P35" s="186">
        <v>84.468000000000004</v>
      </c>
      <c r="Q35" s="186">
        <v>82.531999999999996</v>
      </c>
      <c r="R35" s="183">
        <v>0.05</v>
      </c>
      <c r="S35" s="185">
        <v>0</v>
      </c>
      <c r="T35" s="185">
        <v>4.1265999999999998</v>
      </c>
      <c r="U35" s="185">
        <v>7.7531999999999996</v>
      </c>
      <c r="V35" s="187">
        <v>11.879799999999999</v>
      </c>
      <c r="X35" s="152">
        <v>250</v>
      </c>
      <c r="Y35" s="152">
        <v>201.65219999999999</v>
      </c>
      <c r="Z35" s="188">
        <v>0.80660880000000001</v>
      </c>
      <c r="AA35" s="152">
        <v>36.468000000000004</v>
      </c>
      <c r="AB35" s="152">
        <v>4.1265999999999998</v>
      </c>
      <c r="AC35" s="152">
        <v>7.7531999999999996</v>
      </c>
      <c r="AD35" s="152">
        <v>250</v>
      </c>
      <c r="AE35" s="186">
        <v>16.350109999999972</v>
      </c>
      <c r="AF35" s="183">
        <v>0.32700219999999947</v>
      </c>
      <c r="AG35" s="186">
        <v>32.700220000000002</v>
      </c>
      <c r="AH35" s="183">
        <v>0.32700220000000002</v>
      </c>
      <c r="AW35" s="320">
        <v>33</v>
      </c>
      <c r="AX35" s="320">
        <v>35</v>
      </c>
      <c r="AY35" s="320">
        <v>0</v>
      </c>
      <c r="AZ35" s="320">
        <v>34</v>
      </c>
      <c r="BA35" s="320">
        <v>1.7492999999999999</v>
      </c>
      <c r="BB35" s="320">
        <v>0.30599999999999999</v>
      </c>
      <c r="BC35" s="320"/>
      <c r="BD35" s="320">
        <v>33</v>
      </c>
      <c r="BE35" s="320">
        <v>3.1109999999999998</v>
      </c>
    </row>
    <row r="36" spans="3:57" ht="15" thickBot="1" x14ac:dyDescent="0.25">
      <c r="C36" s="181">
        <v>260</v>
      </c>
      <c r="D36" s="183">
        <v>0.3</v>
      </c>
      <c r="E36" s="185">
        <v>8</v>
      </c>
      <c r="F36" s="181">
        <v>86</v>
      </c>
      <c r="G36" s="185">
        <v>174</v>
      </c>
      <c r="H36" s="185">
        <v>13.582799999999999</v>
      </c>
      <c r="I36" s="185">
        <v>24.155999999999999</v>
      </c>
      <c r="J36" s="185">
        <v>2.3759999999999999</v>
      </c>
      <c r="K36" s="181">
        <v>48</v>
      </c>
      <c r="P36" s="186">
        <v>88.114800000000002</v>
      </c>
      <c r="Q36" s="186">
        <v>85.885199999999998</v>
      </c>
      <c r="R36" s="183">
        <v>0.05</v>
      </c>
      <c r="S36" s="185">
        <v>0</v>
      </c>
      <c r="T36" s="185">
        <v>4.2942600000000004</v>
      </c>
      <c r="U36" s="185">
        <v>8.0885200000000008</v>
      </c>
      <c r="V36" s="187">
        <v>12.38278</v>
      </c>
      <c r="X36" s="152">
        <v>260</v>
      </c>
      <c r="Y36" s="152">
        <v>207.50242</v>
      </c>
      <c r="Z36" s="188">
        <v>0.7980862307692308</v>
      </c>
      <c r="AA36" s="152">
        <v>40.114799999999995</v>
      </c>
      <c r="AB36" s="152">
        <v>4.2942600000000004</v>
      </c>
      <c r="AC36" s="152">
        <v>8.0885200000000008</v>
      </c>
      <c r="AD36" s="152">
        <v>260</v>
      </c>
      <c r="AE36" s="186">
        <v>14.800219999999996</v>
      </c>
      <c r="AF36" s="183">
        <v>0.29600439999999995</v>
      </c>
      <c r="AG36" s="186">
        <v>29.600439999999992</v>
      </c>
      <c r="AH36" s="183">
        <v>0.29600439999999995</v>
      </c>
      <c r="AW36" s="320">
        <v>35</v>
      </c>
      <c r="AX36" s="320">
        <v>37</v>
      </c>
      <c r="AY36" s="320">
        <v>0</v>
      </c>
      <c r="AZ36" s="320">
        <v>36</v>
      </c>
      <c r="BA36" s="320">
        <v>1.8521999999999998</v>
      </c>
      <c r="BB36" s="320">
        <v>0.32399999999999995</v>
      </c>
      <c r="BC36" s="320"/>
      <c r="BD36" s="320">
        <v>35</v>
      </c>
      <c r="BE36" s="320">
        <v>3.294</v>
      </c>
    </row>
    <row r="37" spans="3:57" ht="15" thickBot="1" x14ac:dyDescent="0.25">
      <c r="C37" s="181">
        <v>270</v>
      </c>
      <c r="D37" s="183">
        <v>0.3</v>
      </c>
      <c r="E37" s="185">
        <v>8</v>
      </c>
      <c r="F37" s="181">
        <v>89</v>
      </c>
      <c r="G37" s="185">
        <v>181</v>
      </c>
      <c r="H37" s="185">
        <v>13.582799999999999</v>
      </c>
      <c r="I37" s="185">
        <v>24.155999999999999</v>
      </c>
      <c r="J37" s="185">
        <v>2.3759999999999999</v>
      </c>
      <c r="K37" s="181">
        <v>48</v>
      </c>
      <c r="P37" s="186">
        <v>88.114800000000002</v>
      </c>
      <c r="Q37" s="186">
        <v>92.885199999999998</v>
      </c>
      <c r="R37" s="183">
        <v>0.05</v>
      </c>
      <c r="S37" s="185">
        <v>0</v>
      </c>
      <c r="T37" s="185">
        <v>4.6442600000000001</v>
      </c>
      <c r="U37" s="185">
        <v>8.7885200000000001</v>
      </c>
      <c r="V37" s="187">
        <v>13.432780000000001</v>
      </c>
      <c r="X37" s="152">
        <v>270</v>
      </c>
      <c r="Y37" s="152">
        <v>216.45242000000002</v>
      </c>
      <c r="Z37" s="188">
        <v>0.80167562962962968</v>
      </c>
      <c r="AA37" s="152">
        <v>40.114799999999995</v>
      </c>
      <c r="AB37" s="152">
        <v>4.6442600000000001</v>
      </c>
      <c r="AC37" s="152">
        <v>8.7885200000000001</v>
      </c>
      <c r="AD37" s="152">
        <v>270</v>
      </c>
      <c r="AE37" s="186">
        <v>14.800220000000024</v>
      </c>
      <c r="AF37" s="183">
        <v>0.2960044000000005</v>
      </c>
      <c r="AG37" s="186">
        <v>31.150329999999997</v>
      </c>
      <c r="AH37" s="183">
        <v>0.31150329999999998</v>
      </c>
      <c r="AW37" s="320">
        <v>37</v>
      </c>
      <c r="AX37" s="320">
        <v>39.5</v>
      </c>
      <c r="AY37" s="320">
        <v>0</v>
      </c>
      <c r="AZ37" s="320">
        <v>38</v>
      </c>
      <c r="BA37" s="320">
        <v>1.9550999999999998</v>
      </c>
      <c r="BB37" s="320">
        <v>0.34199999999999997</v>
      </c>
      <c r="BC37" s="320"/>
      <c r="BD37" s="320">
        <v>37</v>
      </c>
      <c r="BE37" s="320">
        <v>3.4769999999999999</v>
      </c>
    </row>
    <row r="38" spans="3:57" ht="15" thickBot="1" x14ac:dyDescent="0.25">
      <c r="C38" s="181">
        <v>280</v>
      </c>
      <c r="D38" s="183">
        <v>0.3</v>
      </c>
      <c r="E38" s="185">
        <v>8</v>
      </c>
      <c r="F38" s="181">
        <v>92</v>
      </c>
      <c r="G38" s="185">
        <v>188</v>
      </c>
      <c r="H38" s="185">
        <v>14.817599999999999</v>
      </c>
      <c r="I38" s="185">
        <v>26.351999999999997</v>
      </c>
      <c r="J38" s="185">
        <v>2.5919999999999996</v>
      </c>
      <c r="K38" s="181">
        <v>48</v>
      </c>
      <c r="P38" s="186">
        <v>91.761599999999987</v>
      </c>
      <c r="Q38" s="186">
        <v>96.238400000000013</v>
      </c>
      <c r="R38" s="183">
        <v>0.05</v>
      </c>
      <c r="S38" s="185">
        <v>0</v>
      </c>
      <c r="T38" s="185">
        <v>4.8119200000000006</v>
      </c>
      <c r="U38" s="185">
        <v>9.1238400000000013</v>
      </c>
      <c r="V38" s="187">
        <v>13.935760000000002</v>
      </c>
      <c r="X38" s="152">
        <v>280</v>
      </c>
      <c r="Y38" s="152">
        <v>222.30264</v>
      </c>
      <c r="Z38" s="188">
        <v>0.79393800000000003</v>
      </c>
      <c r="AA38" s="152">
        <v>43.761599999999994</v>
      </c>
      <c r="AB38" s="152">
        <v>4.8119200000000006</v>
      </c>
      <c r="AC38" s="152">
        <v>9.1238400000000013</v>
      </c>
      <c r="AD38" s="152">
        <v>280</v>
      </c>
      <c r="AE38" s="186">
        <v>14.800219999999996</v>
      </c>
      <c r="AF38" s="183">
        <v>0.29600439999999995</v>
      </c>
      <c r="AG38" s="186">
        <v>29.600439999999992</v>
      </c>
      <c r="AH38" s="183">
        <v>0.29600439999999995</v>
      </c>
      <c r="AW38" s="320">
        <v>39.5</v>
      </c>
      <c r="AX38" s="320">
        <v>42.5</v>
      </c>
      <c r="AY38" s="320">
        <v>0</v>
      </c>
      <c r="AZ38" s="320">
        <v>41</v>
      </c>
      <c r="BA38" s="320">
        <v>2.1094499999999998</v>
      </c>
      <c r="BB38" s="320">
        <v>0.36899999999999999</v>
      </c>
      <c r="BC38" s="320"/>
      <c r="BD38" s="320">
        <v>39.5</v>
      </c>
      <c r="BE38" s="320">
        <v>3.7515000000000001</v>
      </c>
    </row>
    <row r="39" spans="3:57" ht="15" thickBot="1" x14ac:dyDescent="0.25">
      <c r="C39" s="181">
        <v>290</v>
      </c>
      <c r="D39" s="183">
        <v>0.3</v>
      </c>
      <c r="E39" s="185">
        <v>8</v>
      </c>
      <c r="F39" s="181">
        <v>95</v>
      </c>
      <c r="G39" s="185">
        <v>195</v>
      </c>
      <c r="H39" s="185">
        <v>14.817599999999999</v>
      </c>
      <c r="I39" s="185">
        <v>26.351999999999997</v>
      </c>
      <c r="J39" s="185">
        <v>2.5919999999999996</v>
      </c>
      <c r="K39" s="181">
        <v>48</v>
      </c>
      <c r="P39" s="186">
        <v>91.761599999999987</v>
      </c>
      <c r="Q39" s="186">
        <v>103.23840000000001</v>
      </c>
      <c r="R39" s="183">
        <v>0.05</v>
      </c>
      <c r="S39" s="185">
        <v>0</v>
      </c>
      <c r="T39" s="185">
        <v>5.1619200000000012</v>
      </c>
      <c r="U39" s="185">
        <v>9.8238400000000023</v>
      </c>
      <c r="V39" s="187">
        <v>14.985760000000003</v>
      </c>
      <c r="X39" s="152">
        <v>290</v>
      </c>
      <c r="Y39" s="152">
        <v>231.25263999999999</v>
      </c>
      <c r="Z39" s="188">
        <v>0.79742289655172405</v>
      </c>
      <c r="AA39" s="152">
        <v>43.761599999999994</v>
      </c>
      <c r="AB39" s="152">
        <v>5.1619200000000012</v>
      </c>
      <c r="AC39" s="152">
        <v>9.8238400000000023</v>
      </c>
      <c r="AD39" s="152">
        <v>290</v>
      </c>
      <c r="AE39" s="186">
        <v>14.800219999999968</v>
      </c>
      <c r="AF39" s="183">
        <v>0.29600439999999933</v>
      </c>
      <c r="AG39" s="186">
        <v>29.600439999999992</v>
      </c>
      <c r="AH39" s="183">
        <v>0.29600439999999995</v>
      </c>
      <c r="AW39" s="320">
        <v>42.5</v>
      </c>
      <c r="AX39" s="320">
        <v>45.5</v>
      </c>
      <c r="AY39" s="320">
        <v>0</v>
      </c>
      <c r="AZ39" s="320">
        <v>44</v>
      </c>
      <c r="BA39" s="320">
        <v>2.2637999999999998</v>
      </c>
      <c r="BB39" s="320">
        <v>0.39599999999999996</v>
      </c>
      <c r="BC39" s="320"/>
      <c r="BD39" s="320">
        <v>42.5</v>
      </c>
      <c r="BE39" s="320">
        <v>4.0259999999999998</v>
      </c>
    </row>
    <row r="40" spans="3:57" ht="15" thickBot="1" x14ac:dyDescent="0.25">
      <c r="C40" s="181">
        <v>300</v>
      </c>
      <c r="D40" s="183">
        <v>0.3</v>
      </c>
      <c r="E40" s="185">
        <v>8</v>
      </c>
      <c r="F40" s="181">
        <v>98</v>
      </c>
      <c r="G40" s="185">
        <v>202</v>
      </c>
      <c r="H40" s="185">
        <v>16.052399999999999</v>
      </c>
      <c r="I40" s="185">
        <v>28.548000000000002</v>
      </c>
      <c r="J40" s="185">
        <v>2.8079999999999998</v>
      </c>
      <c r="K40" s="181">
        <v>48</v>
      </c>
      <c r="P40" s="186">
        <v>95.4084</v>
      </c>
      <c r="Q40" s="186">
        <v>106.5916</v>
      </c>
      <c r="R40" s="183">
        <v>0.05</v>
      </c>
      <c r="S40" s="185">
        <v>0</v>
      </c>
      <c r="T40" s="185">
        <v>5.32958</v>
      </c>
      <c r="U40" s="185">
        <v>10.15916</v>
      </c>
      <c r="V40" s="187">
        <v>15.48874</v>
      </c>
      <c r="X40" s="152">
        <v>300</v>
      </c>
      <c r="Y40" s="152">
        <v>237.10285999999999</v>
      </c>
      <c r="Z40" s="188">
        <v>0.79034286666666664</v>
      </c>
      <c r="AA40" s="152">
        <v>47.4084</v>
      </c>
      <c r="AB40" s="152">
        <v>5.32958</v>
      </c>
      <c r="AC40" s="152">
        <v>10.15916</v>
      </c>
      <c r="AD40" s="152">
        <v>300</v>
      </c>
      <c r="AE40" s="186">
        <v>14.800219999999996</v>
      </c>
      <c r="AF40" s="183">
        <v>0.29600439999999995</v>
      </c>
      <c r="AG40" s="186">
        <v>29.600439999999992</v>
      </c>
      <c r="AH40" s="183">
        <v>0.29600439999999995</v>
      </c>
      <c r="AW40" s="320">
        <v>45.5</v>
      </c>
      <c r="AX40" s="320">
        <v>48.5</v>
      </c>
      <c r="AY40" s="320">
        <v>0</v>
      </c>
      <c r="AZ40" s="320">
        <v>47</v>
      </c>
      <c r="BA40" s="320">
        <v>2.4181499999999998</v>
      </c>
      <c r="BB40" s="320">
        <v>0.42299999999999999</v>
      </c>
      <c r="BC40" s="320"/>
      <c r="BD40" s="320">
        <v>45.5</v>
      </c>
      <c r="BE40" s="320">
        <v>4.3004999999999995</v>
      </c>
    </row>
    <row r="41" spans="3:57" ht="15" thickBot="1" x14ac:dyDescent="0.25">
      <c r="C41" s="181">
        <v>310</v>
      </c>
      <c r="D41" s="183">
        <v>0.3</v>
      </c>
      <c r="E41" s="185">
        <v>8</v>
      </c>
      <c r="F41" s="181">
        <v>101</v>
      </c>
      <c r="G41" s="185">
        <v>209</v>
      </c>
      <c r="H41" s="185">
        <v>16.052399999999999</v>
      </c>
      <c r="I41" s="185">
        <v>28.548000000000002</v>
      </c>
      <c r="J41" s="185">
        <v>2.8079999999999998</v>
      </c>
      <c r="K41" s="181">
        <v>48</v>
      </c>
      <c r="P41" s="186">
        <v>95.4084</v>
      </c>
      <c r="Q41" s="186">
        <v>113.5916</v>
      </c>
      <c r="R41" s="183">
        <v>0.05</v>
      </c>
      <c r="S41" s="185">
        <v>0</v>
      </c>
      <c r="T41" s="185">
        <v>5.6795800000000005</v>
      </c>
      <c r="U41" s="185">
        <v>10.859160000000001</v>
      </c>
      <c r="V41" s="187">
        <v>16.538740000000001</v>
      </c>
      <c r="X41" s="152">
        <v>310</v>
      </c>
      <c r="Y41" s="152">
        <v>246.05286000000001</v>
      </c>
      <c r="Z41" s="188">
        <v>0.79371890322580652</v>
      </c>
      <c r="AA41" s="152">
        <v>47.4084</v>
      </c>
      <c r="AB41" s="152">
        <v>5.6795800000000005</v>
      </c>
      <c r="AC41" s="152">
        <v>10.859160000000001</v>
      </c>
      <c r="AD41" s="152">
        <v>310</v>
      </c>
      <c r="AE41" s="186">
        <v>14.800220000000024</v>
      </c>
      <c r="AF41" s="183">
        <v>0.2960044000000005</v>
      </c>
      <c r="AG41" s="186">
        <v>29.600439999999992</v>
      </c>
      <c r="AH41" s="183">
        <v>0.29600439999999995</v>
      </c>
      <c r="AW41" s="320">
        <v>48.5</v>
      </c>
      <c r="AX41" s="320">
        <v>51.5</v>
      </c>
      <c r="AY41" s="320">
        <v>0</v>
      </c>
      <c r="AZ41" s="320">
        <v>50</v>
      </c>
      <c r="BA41" s="320">
        <v>2.5724999999999998</v>
      </c>
      <c r="BB41" s="320">
        <v>0.44999999999999996</v>
      </c>
      <c r="BC41" s="320"/>
      <c r="BD41" s="320">
        <v>48.5</v>
      </c>
      <c r="BE41" s="320">
        <v>4.5750000000000002</v>
      </c>
    </row>
    <row r="42" spans="3:57" ht="15" thickBot="1" x14ac:dyDescent="0.25">
      <c r="C42" s="181">
        <v>320</v>
      </c>
      <c r="D42" s="183">
        <v>0.3</v>
      </c>
      <c r="E42" s="185">
        <v>8</v>
      </c>
      <c r="F42" s="181">
        <v>104</v>
      </c>
      <c r="G42" s="185">
        <v>216</v>
      </c>
      <c r="H42" s="185">
        <v>16.052399999999999</v>
      </c>
      <c r="I42" s="185">
        <v>28.548000000000002</v>
      </c>
      <c r="J42" s="185">
        <v>2.8079999999999998</v>
      </c>
      <c r="K42" s="181">
        <v>48</v>
      </c>
      <c r="P42" s="186">
        <v>95.4084</v>
      </c>
      <c r="Q42" s="186">
        <v>120.5916</v>
      </c>
      <c r="R42" s="183">
        <v>0.05</v>
      </c>
      <c r="S42" s="185">
        <v>0</v>
      </c>
      <c r="T42" s="185">
        <v>6.0295800000000002</v>
      </c>
      <c r="U42" s="185">
        <v>11.55916</v>
      </c>
      <c r="V42" s="187">
        <v>17.588740000000001</v>
      </c>
      <c r="X42" s="152">
        <v>320</v>
      </c>
      <c r="Y42" s="152">
        <v>255.00286</v>
      </c>
      <c r="Z42" s="188">
        <v>0.79688393749999997</v>
      </c>
      <c r="AA42" s="152">
        <v>47.4084</v>
      </c>
      <c r="AB42" s="152">
        <v>6.0295800000000002</v>
      </c>
      <c r="AC42" s="152">
        <v>11.55916</v>
      </c>
      <c r="AD42" s="152">
        <v>320</v>
      </c>
      <c r="AE42" s="186">
        <v>17.900000000000006</v>
      </c>
      <c r="AF42" s="183">
        <v>0.3580000000000001</v>
      </c>
      <c r="AG42" s="186">
        <v>32.700220000000002</v>
      </c>
      <c r="AH42" s="183">
        <v>0.32700220000000002</v>
      </c>
      <c r="AW42" s="320">
        <v>51.5</v>
      </c>
      <c r="AX42" s="320">
        <v>54.5</v>
      </c>
      <c r="AY42" s="320">
        <v>0</v>
      </c>
      <c r="AZ42" s="320">
        <v>53</v>
      </c>
      <c r="BA42" s="320">
        <v>2.7268499999999998</v>
      </c>
      <c r="BB42" s="320">
        <v>0.47699999999999998</v>
      </c>
      <c r="BC42" s="320"/>
      <c r="BD42" s="320">
        <v>51.5</v>
      </c>
      <c r="BE42" s="320">
        <v>4.8494999999999999</v>
      </c>
    </row>
    <row r="43" spans="3:57" ht="15" thickBot="1" x14ac:dyDescent="0.25">
      <c r="C43" s="181">
        <v>330</v>
      </c>
      <c r="D43" s="183">
        <v>0.3</v>
      </c>
      <c r="E43" s="185">
        <v>8</v>
      </c>
      <c r="F43" s="181">
        <v>107</v>
      </c>
      <c r="G43" s="185">
        <v>223</v>
      </c>
      <c r="H43" s="185">
        <v>19.756799999999998</v>
      </c>
      <c r="I43" s="185">
        <v>35.135999999999996</v>
      </c>
      <c r="J43" s="185">
        <v>3.4559999999999995</v>
      </c>
      <c r="K43" s="181">
        <v>48</v>
      </c>
      <c r="P43" s="186">
        <v>106.3488</v>
      </c>
      <c r="Q43" s="186">
        <v>116.6512</v>
      </c>
      <c r="R43" s="183">
        <v>0.05</v>
      </c>
      <c r="S43" s="185">
        <v>0</v>
      </c>
      <c r="T43" s="185">
        <v>5.8325600000000009</v>
      </c>
      <c r="U43" s="185">
        <v>11.165120000000002</v>
      </c>
      <c r="V43" s="187">
        <v>16.997680000000003</v>
      </c>
      <c r="X43" s="152">
        <v>330</v>
      </c>
      <c r="Y43" s="152">
        <v>254.65352000000001</v>
      </c>
      <c r="Z43" s="188">
        <v>0.77167733333333333</v>
      </c>
      <c r="AA43" s="152">
        <v>58.348799999999997</v>
      </c>
      <c r="AB43" s="152">
        <v>5.8325600000000009</v>
      </c>
      <c r="AC43" s="152">
        <v>11.165120000000002</v>
      </c>
      <c r="AD43" s="152">
        <v>330</v>
      </c>
      <c r="AE43" s="186">
        <v>8.6006600000000049</v>
      </c>
      <c r="AF43" s="183">
        <v>0.17201320000000009</v>
      </c>
      <c r="AG43" s="186">
        <v>23.400880000000029</v>
      </c>
      <c r="AH43" s="183">
        <v>0.23400880000000029</v>
      </c>
      <c r="AW43" s="320">
        <v>54.5</v>
      </c>
      <c r="AX43" s="320">
        <v>57.5</v>
      </c>
      <c r="AY43" s="320">
        <v>0</v>
      </c>
      <c r="AZ43" s="320">
        <v>56</v>
      </c>
      <c r="BA43" s="320">
        <v>2.8811999999999998</v>
      </c>
      <c r="BB43" s="320">
        <v>0.504</v>
      </c>
      <c r="BC43" s="320"/>
      <c r="BD43" s="320">
        <v>54.5</v>
      </c>
      <c r="BE43" s="320">
        <v>5.1239999999999997</v>
      </c>
    </row>
    <row r="44" spans="3:57" ht="15" thickBot="1" x14ac:dyDescent="0.25">
      <c r="C44" s="181">
        <v>340</v>
      </c>
      <c r="D44" s="183">
        <v>0.3</v>
      </c>
      <c r="E44" s="185">
        <v>8</v>
      </c>
      <c r="F44" s="181">
        <v>110</v>
      </c>
      <c r="G44" s="185">
        <v>230</v>
      </c>
      <c r="H44" s="185">
        <v>19.756799999999998</v>
      </c>
      <c r="I44" s="185">
        <v>35.135999999999996</v>
      </c>
      <c r="J44" s="185">
        <v>3.4559999999999995</v>
      </c>
      <c r="K44" s="181">
        <v>48</v>
      </c>
      <c r="P44" s="186">
        <v>106.3488</v>
      </c>
      <c r="Q44" s="186">
        <v>123.6512</v>
      </c>
      <c r="R44" s="183">
        <v>0.05</v>
      </c>
      <c r="S44" s="185">
        <v>0</v>
      </c>
      <c r="T44" s="185">
        <v>6.1825600000000005</v>
      </c>
      <c r="U44" s="185">
        <v>11.865120000000001</v>
      </c>
      <c r="V44" s="187">
        <v>18.04768</v>
      </c>
      <c r="X44" s="152">
        <v>340</v>
      </c>
      <c r="Y44" s="152">
        <v>263.60352</v>
      </c>
      <c r="Z44" s="188">
        <v>0.77530447058823526</v>
      </c>
      <c r="AA44" s="152">
        <v>58.348799999999997</v>
      </c>
      <c r="AB44" s="152">
        <v>6.1825600000000005</v>
      </c>
      <c r="AC44" s="152">
        <v>11.865120000000001</v>
      </c>
      <c r="AD44" s="152">
        <v>340</v>
      </c>
      <c r="AE44" s="186">
        <v>8.6006600000000049</v>
      </c>
      <c r="AF44" s="183">
        <v>0.17201320000000009</v>
      </c>
      <c r="AG44" s="186">
        <v>26.500660000000011</v>
      </c>
      <c r="AH44" s="183">
        <v>0.26500660000000009</v>
      </c>
      <c r="AW44" s="320">
        <v>57.5</v>
      </c>
      <c r="AX44" s="320">
        <v>60.5</v>
      </c>
      <c r="AY44" s="320">
        <v>0</v>
      </c>
      <c r="AZ44" s="320">
        <v>59</v>
      </c>
      <c r="BA44" s="320">
        <v>3.0355499999999997</v>
      </c>
      <c r="BB44" s="320">
        <v>0.53099999999999992</v>
      </c>
      <c r="BC44" s="320"/>
      <c r="BD44" s="320">
        <v>57.5</v>
      </c>
      <c r="BE44" s="320">
        <v>5.3985000000000003</v>
      </c>
    </row>
    <row r="45" spans="3:57" ht="15" thickBot="1" x14ac:dyDescent="0.25">
      <c r="C45" s="181">
        <v>350</v>
      </c>
      <c r="D45" s="183">
        <v>0.3</v>
      </c>
      <c r="E45" s="185">
        <v>8</v>
      </c>
      <c r="F45" s="181">
        <v>113</v>
      </c>
      <c r="G45" s="185">
        <v>237</v>
      </c>
      <c r="H45" s="185">
        <v>19.756799999999998</v>
      </c>
      <c r="I45" s="185">
        <v>35.135999999999996</v>
      </c>
      <c r="J45" s="185">
        <v>3.4559999999999995</v>
      </c>
      <c r="K45" s="181">
        <v>48</v>
      </c>
      <c r="P45" s="186">
        <v>106.3488</v>
      </c>
      <c r="Q45" s="186">
        <v>130.65120000000002</v>
      </c>
      <c r="R45" s="183">
        <v>0.05</v>
      </c>
      <c r="S45" s="185">
        <v>0</v>
      </c>
      <c r="T45" s="185">
        <v>6.532560000000001</v>
      </c>
      <c r="U45" s="185">
        <v>12.565120000000002</v>
      </c>
      <c r="V45" s="187">
        <v>19.097680000000004</v>
      </c>
      <c r="X45" s="152">
        <v>350</v>
      </c>
      <c r="Y45" s="152">
        <v>272.55351999999999</v>
      </c>
      <c r="Z45" s="188">
        <v>0.77872434285714287</v>
      </c>
      <c r="AA45" s="152">
        <v>58.348799999999997</v>
      </c>
      <c r="AB45" s="152">
        <v>6.532560000000001</v>
      </c>
      <c r="AC45" s="152">
        <v>12.565120000000002</v>
      </c>
      <c r="AD45" s="152">
        <v>350</v>
      </c>
      <c r="AE45" s="186">
        <v>17.899999999999977</v>
      </c>
      <c r="AF45" s="183">
        <v>0.35799999999999954</v>
      </c>
      <c r="AG45" s="186">
        <v>26.500659999999982</v>
      </c>
      <c r="AH45" s="183">
        <v>0.26500659999999981</v>
      </c>
      <c r="AW45" s="320">
        <v>60.5</v>
      </c>
      <c r="AX45" s="320">
        <v>63.5</v>
      </c>
      <c r="AY45" s="320">
        <v>0</v>
      </c>
      <c r="AZ45" s="320">
        <v>62</v>
      </c>
      <c r="BA45" s="320">
        <v>3.1898999999999997</v>
      </c>
      <c r="BB45" s="320">
        <v>0.55799999999999994</v>
      </c>
      <c r="BC45" s="320"/>
      <c r="BD45" s="320">
        <v>60.5</v>
      </c>
      <c r="BE45" s="320">
        <v>5.673</v>
      </c>
    </row>
    <row r="46" spans="3:57" ht="15" thickBot="1" x14ac:dyDescent="0.25">
      <c r="C46" s="181">
        <v>360</v>
      </c>
      <c r="D46" s="183">
        <v>0.2</v>
      </c>
      <c r="E46" s="185">
        <v>44</v>
      </c>
      <c r="F46" s="181">
        <v>116</v>
      </c>
      <c r="G46" s="185">
        <v>244</v>
      </c>
      <c r="H46" s="185">
        <v>19.756799999999998</v>
      </c>
      <c r="I46" s="185">
        <v>35.135999999999996</v>
      </c>
      <c r="J46" s="185">
        <v>3.4559999999999995</v>
      </c>
      <c r="K46" s="181">
        <v>48</v>
      </c>
      <c r="P46" s="186">
        <v>106.3488</v>
      </c>
      <c r="Q46" s="186">
        <v>137.65120000000002</v>
      </c>
      <c r="R46" s="183">
        <v>0.05</v>
      </c>
      <c r="S46" s="185">
        <v>0</v>
      </c>
      <c r="T46" s="185">
        <v>6.8825600000000016</v>
      </c>
      <c r="U46" s="185">
        <v>13.265120000000003</v>
      </c>
      <c r="V46" s="187">
        <v>20.147680000000005</v>
      </c>
      <c r="X46" s="152">
        <v>360</v>
      </c>
      <c r="Y46" s="152">
        <v>281.50351999999998</v>
      </c>
      <c r="Z46" s="188">
        <v>0.78195422222222222</v>
      </c>
      <c r="AA46" s="152">
        <v>58.348799999999997</v>
      </c>
      <c r="AB46" s="152">
        <v>6.8825600000000016</v>
      </c>
      <c r="AC46" s="152">
        <v>13.265120000000003</v>
      </c>
      <c r="AD46" s="152">
        <v>360</v>
      </c>
      <c r="AE46" s="186">
        <v>17.899999999999977</v>
      </c>
      <c r="AF46" s="183">
        <v>0.35799999999999954</v>
      </c>
      <c r="AG46" s="186">
        <v>26.500659999999982</v>
      </c>
      <c r="AH46" s="183">
        <v>0.26500659999999981</v>
      </c>
      <c r="AW46" s="320">
        <v>63.5</v>
      </c>
      <c r="AX46" s="320">
        <v>66.5</v>
      </c>
      <c r="AY46" s="320">
        <v>0</v>
      </c>
      <c r="AZ46" s="320">
        <v>65</v>
      </c>
      <c r="BA46" s="320">
        <v>3.3442499999999997</v>
      </c>
      <c r="BB46" s="320">
        <v>0.58499999999999996</v>
      </c>
      <c r="BC46" s="320"/>
      <c r="BD46" s="320">
        <v>63.5</v>
      </c>
      <c r="BE46" s="320">
        <v>5.9474999999999998</v>
      </c>
    </row>
    <row r="47" spans="3:57" ht="15" thickBot="1" x14ac:dyDescent="0.25">
      <c r="C47" s="181">
        <v>370</v>
      </c>
      <c r="D47" s="183">
        <v>0.2</v>
      </c>
      <c r="E47" s="185">
        <v>44</v>
      </c>
      <c r="F47" s="181">
        <v>118</v>
      </c>
      <c r="G47" s="185">
        <v>252</v>
      </c>
      <c r="H47" s="185">
        <v>19.756799999999998</v>
      </c>
      <c r="I47" s="185">
        <v>35.135999999999996</v>
      </c>
      <c r="J47" s="185">
        <v>3.4559999999999995</v>
      </c>
      <c r="K47" s="181">
        <v>48</v>
      </c>
      <c r="P47" s="186">
        <v>106.3488</v>
      </c>
      <c r="Q47" s="186">
        <v>145.65120000000002</v>
      </c>
      <c r="R47" s="183">
        <v>0.05</v>
      </c>
      <c r="S47" s="185">
        <v>0</v>
      </c>
      <c r="T47" s="185">
        <v>7.282560000000001</v>
      </c>
      <c r="U47" s="185">
        <v>14.065120000000002</v>
      </c>
      <c r="V47" s="187">
        <v>20.932560000000002</v>
      </c>
      <c r="X47" s="152">
        <v>370</v>
      </c>
      <c r="Y47" s="152">
        <v>290.30351999999999</v>
      </c>
      <c r="Z47" s="188">
        <v>0.7846041081081081</v>
      </c>
      <c r="AA47" s="152">
        <v>58.348799999999997</v>
      </c>
      <c r="AB47" s="152">
        <v>7.282560000000001</v>
      </c>
      <c r="AC47" s="152">
        <v>14.065120000000002</v>
      </c>
      <c r="AD47" s="152">
        <v>370</v>
      </c>
      <c r="AE47" s="186">
        <v>17.75</v>
      </c>
      <c r="AF47" s="183">
        <v>0.35499999999999998</v>
      </c>
      <c r="AG47" s="186">
        <v>35.649999999999977</v>
      </c>
      <c r="AH47" s="183">
        <v>0.35649999999999976</v>
      </c>
      <c r="AW47" s="320">
        <v>66.5</v>
      </c>
      <c r="AX47" s="320">
        <v>69.5</v>
      </c>
      <c r="AY47" s="320"/>
      <c r="AZ47" s="320">
        <v>68</v>
      </c>
      <c r="BA47" s="320">
        <v>3.4985999999999997</v>
      </c>
      <c r="BB47" s="320">
        <v>0.61199999999999999</v>
      </c>
      <c r="BC47" s="320"/>
      <c r="BD47" s="320">
        <v>100000</v>
      </c>
      <c r="BE47" s="320"/>
    </row>
    <row r="48" spans="3:57" ht="15" thickBot="1" x14ac:dyDescent="0.25">
      <c r="C48" s="181">
        <v>380</v>
      </c>
      <c r="D48" s="183">
        <v>0.2</v>
      </c>
      <c r="E48" s="185">
        <v>44</v>
      </c>
      <c r="F48" s="181">
        <v>120</v>
      </c>
      <c r="G48" s="185">
        <v>260</v>
      </c>
      <c r="H48" s="185">
        <v>19.756799999999998</v>
      </c>
      <c r="I48" s="185">
        <v>35.135999999999996</v>
      </c>
      <c r="J48" s="185">
        <v>3.4559999999999995</v>
      </c>
      <c r="K48" s="181">
        <v>48</v>
      </c>
      <c r="P48" s="186">
        <v>106.3488</v>
      </c>
      <c r="Q48" s="186">
        <v>153.65120000000002</v>
      </c>
      <c r="R48" s="183">
        <v>0.05</v>
      </c>
      <c r="S48" s="185">
        <v>0</v>
      </c>
      <c r="T48" s="185">
        <v>7.6825600000000014</v>
      </c>
      <c r="U48" s="185">
        <v>14.865120000000003</v>
      </c>
      <c r="V48" s="187">
        <v>21.332560000000001</v>
      </c>
      <c r="X48" s="152">
        <v>380</v>
      </c>
      <c r="Y48" s="152">
        <v>299.10352</v>
      </c>
      <c r="Z48" s="188">
        <v>0.78711452631578949</v>
      </c>
      <c r="AA48" s="152">
        <v>58.348799999999997</v>
      </c>
      <c r="AB48" s="152">
        <v>7.6825600000000014</v>
      </c>
      <c r="AC48" s="152">
        <v>14.865120000000003</v>
      </c>
      <c r="AD48" s="152">
        <v>380</v>
      </c>
      <c r="AE48" s="186">
        <v>17.600000000000023</v>
      </c>
      <c r="AF48" s="183">
        <v>0.35200000000000048</v>
      </c>
      <c r="AG48" s="186">
        <v>35.5</v>
      </c>
      <c r="AH48" s="183">
        <v>0.35499999999999998</v>
      </c>
      <c r="AW48" s="320">
        <v>69.5</v>
      </c>
      <c r="AX48" s="320">
        <v>73</v>
      </c>
      <c r="AY48" s="320"/>
      <c r="AZ48" s="320">
        <v>71</v>
      </c>
      <c r="BA48" s="320">
        <v>3.6529499999999997</v>
      </c>
      <c r="BB48" s="320">
        <v>0.6389999999999999</v>
      </c>
      <c r="BC48" s="320"/>
      <c r="BD48" s="320"/>
      <c r="BE48" s="320"/>
    </row>
    <row r="49" spans="3:57" ht="15" thickBot="1" x14ac:dyDescent="0.25">
      <c r="C49" s="181">
        <v>390</v>
      </c>
      <c r="D49" s="183">
        <v>0.2</v>
      </c>
      <c r="E49" s="185">
        <v>44</v>
      </c>
      <c r="F49" s="181">
        <v>122</v>
      </c>
      <c r="G49" s="185">
        <v>268</v>
      </c>
      <c r="H49" s="185">
        <v>19.756799999999998</v>
      </c>
      <c r="I49" s="185">
        <v>35.135999999999996</v>
      </c>
      <c r="J49" s="185">
        <v>3.4559999999999995</v>
      </c>
      <c r="K49" s="181">
        <v>48</v>
      </c>
      <c r="P49" s="186">
        <v>106.3488</v>
      </c>
      <c r="Q49" s="186">
        <v>161.65120000000002</v>
      </c>
      <c r="R49" s="183">
        <v>0.05</v>
      </c>
      <c r="S49" s="185">
        <v>0</v>
      </c>
      <c r="T49" s="185">
        <v>8.0825600000000009</v>
      </c>
      <c r="U49" s="185">
        <v>15.665120000000002</v>
      </c>
      <c r="V49" s="187">
        <v>21.732559999999999</v>
      </c>
      <c r="X49" s="152">
        <v>390</v>
      </c>
      <c r="Y49" s="152">
        <v>307.90352000000001</v>
      </c>
      <c r="Z49" s="188">
        <v>0.78949620512820518</v>
      </c>
      <c r="AA49" s="152">
        <v>58.348799999999997</v>
      </c>
      <c r="AB49" s="152">
        <v>8.0825600000000009</v>
      </c>
      <c r="AC49" s="152">
        <v>15.665120000000002</v>
      </c>
      <c r="AD49" s="152">
        <v>390</v>
      </c>
      <c r="AE49" s="186">
        <v>17.600000000000023</v>
      </c>
      <c r="AF49" s="183">
        <v>0.35200000000000048</v>
      </c>
      <c r="AG49" s="186">
        <v>35.350000000000023</v>
      </c>
      <c r="AH49" s="183">
        <v>0.3535000000000002</v>
      </c>
      <c r="AW49" s="320">
        <v>73</v>
      </c>
      <c r="AX49" s="320">
        <v>77</v>
      </c>
      <c r="AY49" s="320"/>
      <c r="AZ49" s="320">
        <v>75</v>
      </c>
      <c r="BA49" s="320">
        <v>3.8587499999999997</v>
      </c>
      <c r="BB49" s="320">
        <v>0.67499999999999993</v>
      </c>
      <c r="BC49" s="320"/>
      <c r="BD49" s="320"/>
      <c r="BE49" s="320"/>
    </row>
    <row r="50" spans="3:57" ht="15" thickBot="1" x14ac:dyDescent="0.25">
      <c r="C50" s="181">
        <v>400</v>
      </c>
      <c r="D50" s="183">
        <v>0.2</v>
      </c>
      <c r="E50" s="185">
        <v>44</v>
      </c>
      <c r="F50" s="181">
        <v>124</v>
      </c>
      <c r="G50" s="185">
        <v>276</v>
      </c>
      <c r="H50" s="185">
        <v>20.991599999999998</v>
      </c>
      <c r="I50" s="185">
        <v>37.331999999999994</v>
      </c>
      <c r="J50" s="185">
        <v>3.6719999999999997</v>
      </c>
      <c r="K50" s="181">
        <v>48</v>
      </c>
      <c r="P50" s="186">
        <v>109.9956</v>
      </c>
      <c r="Q50" s="186">
        <v>166.0044</v>
      </c>
      <c r="R50" s="183">
        <v>0.05</v>
      </c>
      <c r="S50" s="185">
        <v>0</v>
      </c>
      <c r="T50" s="185">
        <v>8.3002200000000013</v>
      </c>
      <c r="U50" s="185">
        <v>16.100440000000003</v>
      </c>
      <c r="V50" s="187">
        <v>21.950220000000002</v>
      </c>
      <c r="X50" s="152">
        <v>400</v>
      </c>
      <c r="Y50" s="152">
        <v>313.60374000000002</v>
      </c>
      <c r="Z50" s="188">
        <v>0.78400935000000005</v>
      </c>
      <c r="AA50" s="152">
        <v>61.995599999999989</v>
      </c>
      <c r="AB50" s="152">
        <v>8.3002200000000013</v>
      </c>
      <c r="AC50" s="152">
        <v>16.100440000000003</v>
      </c>
      <c r="AD50" s="152">
        <v>400</v>
      </c>
      <c r="AE50" s="186">
        <v>14.500220000000013</v>
      </c>
      <c r="AF50" s="183">
        <v>0.29000440000000027</v>
      </c>
      <c r="AG50" s="186">
        <v>32.100220000000036</v>
      </c>
      <c r="AH50" s="183">
        <v>0.32100220000000035</v>
      </c>
      <c r="AW50" s="320">
        <v>77</v>
      </c>
      <c r="AX50" s="320">
        <v>81</v>
      </c>
      <c r="AY50" s="320"/>
      <c r="AZ50" s="320">
        <v>79</v>
      </c>
      <c r="BA50" s="320">
        <v>4.0645499999999997</v>
      </c>
      <c r="BB50" s="320">
        <v>0.71099999999999997</v>
      </c>
      <c r="BC50" s="320"/>
      <c r="BD50" s="320"/>
      <c r="BE50" s="320"/>
    </row>
    <row r="51" spans="3:57" ht="15" thickBot="1" x14ac:dyDescent="0.25">
      <c r="C51" s="181">
        <v>410</v>
      </c>
      <c r="D51" s="183">
        <v>0.2</v>
      </c>
      <c r="E51" s="185">
        <v>44</v>
      </c>
      <c r="F51" s="181">
        <v>126</v>
      </c>
      <c r="G51" s="185">
        <v>284</v>
      </c>
      <c r="H51" s="185">
        <v>20.991599999999998</v>
      </c>
      <c r="I51" s="185">
        <v>37.331999999999994</v>
      </c>
      <c r="J51" s="185">
        <v>3.6719999999999997</v>
      </c>
      <c r="K51" s="181">
        <v>48</v>
      </c>
      <c r="P51" s="186">
        <v>109.9956</v>
      </c>
      <c r="Q51" s="186">
        <v>174.0044</v>
      </c>
      <c r="R51" s="183">
        <v>0.05</v>
      </c>
      <c r="S51" s="185">
        <v>0</v>
      </c>
      <c r="T51" s="185">
        <v>8.7002199999999998</v>
      </c>
      <c r="U51" s="185">
        <v>16.90044</v>
      </c>
      <c r="V51" s="187">
        <v>22.35022</v>
      </c>
      <c r="X51" s="185">
        <v>410</v>
      </c>
      <c r="Y51" s="185">
        <v>322.40374000000003</v>
      </c>
      <c r="Z51" s="183">
        <v>0.78635058536585367</v>
      </c>
      <c r="AA51" s="185">
        <v>61.995599999999989</v>
      </c>
      <c r="AB51" s="185">
        <v>8.7002199999999998</v>
      </c>
      <c r="AC51" s="185">
        <v>16.90044</v>
      </c>
      <c r="AD51" s="185">
        <v>410</v>
      </c>
      <c r="AE51" s="186">
        <v>14.500220000000013</v>
      </c>
      <c r="AF51" s="183">
        <v>0.29000440000000027</v>
      </c>
      <c r="AG51" s="186">
        <v>32.100220000000036</v>
      </c>
      <c r="AH51" s="183">
        <v>0.32100220000000035</v>
      </c>
      <c r="AW51" s="320">
        <v>81</v>
      </c>
      <c r="AX51" s="320">
        <v>85.5</v>
      </c>
      <c r="AY51" s="320"/>
      <c r="AZ51" s="320">
        <v>83</v>
      </c>
      <c r="BA51" s="320">
        <v>4.2703499999999996</v>
      </c>
      <c r="BB51" s="320">
        <v>0.747</v>
      </c>
      <c r="BC51" s="320"/>
      <c r="BD51" s="320"/>
      <c r="BE51" s="320"/>
    </row>
    <row r="52" spans="3:57" ht="15" thickBot="1" x14ac:dyDescent="0.25">
      <c r="C52" s="181">
        <v>420</v>
      </c>
      <c r="D52" s="183">
        <v>0.2</v>
      </c>
      <c r="E52" s="185">
        <v>44</v>
      </c>
      <c r="F52" s="181">
        <v>128</v>
      </c>
      <c r="G52" s="185">
        <v>292</v>
      </c>
      <c r="H52" s="185">
        <v>22.226399999999998</v>
      </c>
      <c r="I52" s="185">
        <v>39.527999999999999</v>
      </c>
      <c r="J52" s="185">
        <v>3.8879999999999995</v>
      </c>
      <c r="K52" s="181">
        <v>48</v>
      </c>
      <c r="P52" s="186">
        <v>113.64239999999999</v>
      </c>
      <c r="Q52" s="186">
        <v>178.35759999999999</v>
      </c>
      <c r="R52" s="183">
        <v>0.05</v>
      </c>
      <c r="S52" s="185">
        <v>0</v>
      </c>
      <c r="T52" s="185">
        <v>8.9178800000000003</v>
      </c>
      <c r="U52" s="185">
        <v>17.335760000000001</v>
      </c>
      <c r="V52" s="187">
        <v>22.567880000000002</v>
      </c>
      <c r="X52" s="185">
        <v>420</v>
      </c>
      <c r="Y52" s="185">
        <v>328.10396000000003</v>
      </c>
      <c r="Z52" s="183">
        <v>0.78119990476190482</v>
      </c>
      <c r="AA52" s="185">
        <v>65.642399999999995</v>
      </c>
      <c r="AB52" s="185">
        <v>8.9178800000000003</v>
      </c>
      <c r="AC52" s="185">
        <v>17.335760000000001</v>
      </c>
      <c r="AD52" s="185">
        <v>420</v>
      </c>
      <c r="AE52" s="186">
        <v>14.500220000000013</v>
      </c>
      <c r="AF52" s="183">
        <v>0.29000440000000027</v>
      </c>
      <c r="AG52" s="186">
        <v>29.000440000000026</v>
      </c>
      <c r="AH52" s="183">
        <v>0.29000440000000027</v>
      </c>
      <c r="AW52" s="320">
        <v>85.5</v>
      </c>
      <c r="AX52" s="320">
        <v>90.5</v>
      </c>
      <c r="AY52" s="320"/>
      <c r="AZ52" s="320">
        <v>88</v>
      </c>
      <c r="BA52" s="320">
        <v>4.5275999999999996</v>
      </c>
      <c r="BB52" s="320">
        <v>0.79199999999999993</v>
      </c>
      <c r="BC52" s="320"/>
      <c r="BD52" s="320"/>
      <c r="BE52" s="320"/>
    </row>
    <row r="53" spans="3:57" ht="15" thickBot="1" x14ac:dyDescent="0.25">
      <c r="C53" s="181">
        <v>430</v>
      </c>
      <c r="D53" s="183">
        <v>0.2</v>
      </c>
      <c r="E53" s="185">
        <v>44</v>
      </c>
      <c r="F53" s="181">
        <v>130</v>
      </c>
      <c r="G53" s="185">
        <v>300</v>
      </c>
      <c r="H53" s="185">
        <v>22.226399999999998</v>
      </c>
      <c r="I53" s="185">
        <v>39.527999999999999</v>
      </c>
      <c r="J53" s="185">
        <v>3.8879999999999995</v>
      </c>
      <c r="K53" s="181">
        <v>48</v>
      </c>
      <c r="P53" s="186">
        <v>113.64239999999999</v>
      </c>
      <c r="Q53" s="186">
        <v>186.35759999999999</v>
      </c>
      <c r="R53" s="183">
        <v>0.05</v>
      </c>
      <c r="S53" s="185">
        <v>0</v>
      </c>
      <c r="T53" s="185">
        <v>9.3178800000000006</v>
      </c>
      <c r="U53" s="185">
        <v>18.135760000000001</v>
      </c>
      <c r="V53" s="187">
        <v>22.967880000000001</v>
      </c>
      <c r="X53" s="185">
        <v>430</v>
      </c>
      <c r="Y53" s="185">
        <v>336.90395999999998</v>
      </c>
      <c r="Z53" s="183">
        <v>0.78349758139534875</v>
      </c>
      <c r="AA53" s="185">
        <v>65.642399999999995</v>
      </c>
      <c r="AB53" s="185">
        <v>9.3178800000000006</v>
      </c>
      <c r="AC53" s="185">
        <v>18.135760000000001</v>
      </c>
      <c r="AD53" s="185">
        <v>430</v>
      </c>
      <c r="AE53" s="186">
        <v>14.500219999999956</v>
      </c>
      <c r="AF53" s="183">
        <v>0.29000439999999911</v>
      </c>
      <c r="AG53" s="186">
        <v>29.000439999999969</v>
      </c>
      <c r="AH53" s="183">
        <v>0.29000439999999972</v>
      </c>
      <c r="AW53" s="320">
        <v>90.5</v>
      </c>
      <c r="AX53" s="320">
        <v>95.5</v>
      </c>
      <c r="AY53" s="320"/>
      <c r="AZ53" s="320">
        <v>93</v>
      </c>
      <c r="BA53" s="320">
        <v>4.7848499999999996</v>
      </c>
      <c r="BB53" s="320">
        <v>0.83699999999999997</v>
      </c>
      <c r="BC53" s="320"/>
      <c r="BD53" s="320"/>
      <c r="BE53" s="320"/>
    </row>
    <row r="54" spans="3:57" ht="15" thickBot="1" x14ac:dyDescent="0.25">
      <c r="C54" s="181">
        <v>440</v>
      </c>
      <c r="D54" s="183">
        <v>0.2</v>
      </c>
      <c r="E54" s="185">
        <v>44</v>
      </c>
      <c r="F54" s="181">
        <v>132</v>
      </c>
      <c r="G54" s="185">
        <v>308</v>
      </c>
      <c r="H54" s="185">
        <v>22.226399999999998</v>
      </c>
      <c r="I54" s="185">
        <v>39.527999999999999</v>
      </c>
      <c r="J54" s="185">
        <v>3.8879999999999995</v>
      </c>
      <c r="K54" s="181">
        <v>48</v>
      </c>
      <c r="P54" s="186">
        <v>113.64239999999999</v>
      </c>
      <c r="Q54" s="186">
        <v>194.35759999999999</v>
      </c>
      <c r="R54" s="183">
        <v>0.05</v>
      </c>
      <c r="S54" s="185">
        <v>0</v>
      </c>
      <c r="T54" s="185">
        <v>9.717880000000001</v>
      </c>
      <c r="U54" s="185">
        <v>18.935760000000002</v>
      </c>
      <c r="V54" s="187">
        <v>23.36788</v>
      </c>
      <c r="X54" s="185">
        <v>440</v>
      </c>
      <c r="Y54" s="185">
        <v>345.70396</v>
      </c>
      <c r="Z54" s="183">
        <v>0.78569081818181818</v>
      </c>
      <c r="AA54" s="185">
        <v>65.642399999999995</v>
      </c>
      <c r="AB54" s="185">
        <v>9.717880000000001</v>
      </c>
      <c r="AC54" s="185">
        <v>18.935760000000002</v>
      </c>
      <c r="AD54" s="185">
        <v>440</v>
      </c>
      <c r="AE54" s="186">
        <v>17.599999999999966</v>
      </c>
      <c r="AF54" s="183">
        <v>0.35199999999999931</v>
      </c>
      <c r="AG54" s="186">
        <v>32.100219999999979</v>
      </c>
      <c r="AH54" s="183">
        <v>0.32100219999999979</v>
      </c>
      <c r="AW54" s="320">
        <v>95.5</v>
      </c>
      <c r="AX54" s="320">
        <v>100.5</v>
      </c>
      <c r="AY54" s="320"/>
      <c r="AZ54" s="320">
        <v>98</v>
      </c>
      <c r="BA54" s="320">
        <v>5.0420999999999996</v>
      </c>
      <c r="BB54" s="320">
        <v>0.8819999999999999</v>
      </c>
      <c r="BC54" s="320"/>
      <c r="BD54" s="320"/>
      <c r="BE54" s="320"/>
    </row>
    <row r="55" spans="3:57" ht="15" thickBot="1" x14ac:dyDescent="0.25">
      <c r="C55" s="181">
        <v>450</v>
      </c>
      <c r="D55" s="183">
        <v>0.2</v>
      </c>
      <c r="E55" s="185">
        <v>44</v>
      </c>
      <c r="F55" s="181">
        <v>134</v>
      </c>
      <c r="G55" s="185">
        <v>316</v>
      </c>
      <c r="H55" s="185">
        <v>23.461199999999998</v>
      </c>
      <c r="I55" s="185">
        <v>41.723999999999997</v>
      </c>
      <c r="J55" s="185">
        <v>4.1039999999999992</v>
      </c>
      <c r="K55" s="181">
        <v>48</v>
      </c>
      <c r="P55" s="186">
        <v>117.28919999999999</v>
      </c>
      <c r="Q55" s="186">
        <v>198.71080000000001</v>
      </c>
      <c r="R55" s="183">
        <v>0.1</v>
      </c>
      <c r="S55" s="185">
        <v>-9.75</v>
      </c>
      <c r="T55" s="185">
        <v>10.121080000000003</v>
      </c>
      <c r="U55" s="185">
        <v>19.371080000000003</v>
      </c>
      <c r="V55" s="187">
        <v>23.771080000000005</v>
      </c>
      <c r="X55" s="185">
        <v>450</v>
      </c>
      <c r="Y55" s="185">
        <v>351.21863999999999</v>
      </c>
      <c r="Z55" s="183">
        <v>0.78048586666666664</v>
      </c>
      <c r="AA55" s="185">
        <v>69.289199999999994</v>
      </c>
      <c r="AB55" s="185">
        <v>10.121080000000003</v>
      </c>
      <c r="AC55" s="185">
        <v>19.371080000000003</v>
      </c>
      <c r="AD55" s="185">
        <v>450</v>
      </c>
      <c r="AE55" s="186">
        <v>14.31468000000001</v>
      </c>
      <c r="AF55" s="183">
        <v>0.2862936000000002</v>
      </c>
      <c r="AG55" s="186">
        <v>28.814899999999966</v>
      </c>
      <c r="AH55" s="183">
        <v>0.28814899999999966</v>
      </c>
      <c r="AW55" s="320">
        <v>100.5</v>
      </c>
      <c r="AX55" s="320">
        <v>105.5</v>
      </c>
      <c r="AY55" s="320"/>
      <c r="AZ55" s="320">
        <v>103</v>
      </c>
      <c r="BA55" s="320">
        <v>5.2993499999999996</v>
      </c>
      <c r="BB55" s="320">
        <v>0.92699999999999994</v>
      </c>
      <c r="BC55" s="320"/>
      <c r="BD55" s="320"/>
      <c r="BE55" s="320"/>
    </row>
    <row r="56" spans="3:57" ht="15" thickBot="1" x14ac:dyDescent="0.25">
      <c r="C56" s="181">
        <v>460</v>
      </c>
      <c r="D56" s="183">
        <v>0.2</v>
      </c>
      <c r="E56" s="185">
        <v>44</v>
      </c>
      <c r="F56" s="181">
        <v>136</v>
      </c>
      <c r="G56" s="185">
        <v>324</v>
      </c>
      <c r="H56" s="185">
        <v>23.461199999999998</v>
      </c>
      <c r="I56" s="185">
        <v>41.723999999999997</v>
      </c>
      <c r="J56" s="185">
        <v>4.1039999999999992</v>
      </c>
      <c r="K56" s="181">
        <v>48</v>
      </c>
      <c r="P56" s="186">
        <v>117.28919999999999</v>
      </c>
      <c r="Q56" s="186">
        <v>206.71080000000001</v>
      </c>
      <c r="R56" s="183">
        <v>0.1</v>
      </c>
      <c r="S56" s="185">
        <v>-9.75</v>
      </c>
      <c r="T56" s="185">
        <v>10.921080000000003</v>
      </c>
      <c r="U56" s="185">
        <v>20.171080000000003</v>
      </c>
      <c r="V56" s="187">
        <v>24.571080000000002</v>
      </c>
      <c r="X56" s="185">
        <v>460</v>
      </c>
      <c r="Y56" s="185">
        <v>359.61864000000003</v>
      </c>
      <c r="Z56" s="183">
        <v>0.7817796521739131</v>
      </c>
      <c r="AA56" s="185">
        <v>69.289199999999994</v>
      </c>
      <c r="AB56" s="185">
        <v>10.921080000000003</v>
      </c>
      <c r="AC56" s="185">
        <v>20.171080000000003</v>
      </c>
      <c r="AD56" s="185">
        <v>460</v>
      </c>
      <c r="AE56" s="186">
        <v>13.914680000000033</v>
      </c>
      <c r="AF56" s="183">
        <v>0.27829360000000064</v>
      </c>
      <c r="AG56" s="186">
        <v>31.514679999999998</v>
      </c>
      <c r="AH56" s="183">
        <v>0.3151468</v>
      </c>
      <c r="AW56" s="320">
        <v>105.5</v>
      </c>
      <c r="AX56" s="320">
        <v>111.5</v>
      </c>
      <c r="AY56" s="320"/>
      <c r="AZ56" s="320">
        <v>109</v>
      </c>
      <c r="BA56" s="320">
        <v>5.6080499999999995</v>
      </c>
      <c r="BB56" s="320">
        <v>0.98099999999999987</v>
      </c>
      <c r="BC56" s="320"/>
      <c r="BD56" s="320"/>
      <c r="BE56" s="320"/>
    </row>
    <row r="57" spans="3:57" ht="15" thickBot="1" x14ac:dyDescent="0.25">
      <c r="C57" s="181">
        <v>470</v>
      </c>
      <c r="D57" s="183">
        <v>0.2</v>
      </c>
      <c r="E57" s="185">
        <v>44</v>
      </c>
      <c r="F57" s="181">
        <v>138</v>
      </c>
      <c r="G57" s="185">
        <v>332</v>
      </c>
      <c r="H57" s="185">
        <v>23.461199999999998</v>
      </c>
      <c r="I57" s="185">
        <v>41.723999999999997</v>
      </c>
      <c r="J57" s="185">
        <v>4.1039999999999992</v>
      </c>
      <c r="K57" s="181">
        <v>48</v>
      </c>
      <c r="P57" s="186">
        <v>117.28919999999999</v>
      </c>
      <c r="Q57" s="186">
        <v>214.71080000000001</v>
      </c>
      <c r="R57" s="183">
        <v>0.1</v>
      </c>
      <c r="S57" s="185">
        <v>-9.75</v>
      </c>
      <c r="T57" s="185">
        <v>11.721080000000001</v>
      </c>
      <c r="U57" s="185">
        <v>20.971080000000001</v>
      </c>
      <c r="V57" s="187">
        <v>25.371079999999999</v>
      </c>
      <c r="X57" s="185">
        <v>470</v>
      </c>
      <c r="Y57" s="185">
        <v>368.01864</v>
      </c>
      <c r="Z57" s="183">
        <v>0.78301838297872339</v>
      </c>
      <c r="AA57" s="185">
        <v>69.289199999999994</v>
      </c>
      <c r="AB57" s="185">
        <v>11.721080000000001</v>
      </c>
      <c r="AC57" s="185">
        <v>20.971080000000001</v>
      </c>
      <c r="AD57" s="185">
        <v>470</v>
      </c>
      <c r="AE57" s="186">
        <v>16.800000000000011</v>
      </c>
      <c r="AF57" s="183">
        <v>0.33600000000000024</v>
      </c>
      <c r="AG57" s="186">
        <v>31.114680000000021</v>
      </c>
      <c r="AH57" s="183">
        <v>0.31114680000000022</v>
      </c>
      <c r="AW57" s="320">
        <v>111.5</v>
      </c>
      <c r="AX57" s="320">
        <v>117.5</v>
      </c>
      <c r="AY57" s="320"/>
      <c r="AZ57" s="320">
        <v>115</v>
      </c>
      <c r="BA57" s="320">
        <v>5.9167499999999995</v>
      </c>
      <c r="BB57" s="320">
        <v>1.0349999999999999</v>
      </c>
      <c r="BC57" s="320"/>
      <c r="BD57" s="320"/>
      <c r="BE57" s="320"/>
    </row>
    <row r="58" spans="3:57" ht="15" thickBot="1" x14ac:dyDescent="0.25">
      <c r="C58" s="181">
        <v>480</v>
      </c>
      <c r="D58" s="183">
        <v>0.2</v>
      </c>
      <c r="E58" s="185">
        <v>44</v>
      </c>
      <c r="F58" s="181">
        <v>140</v>
      </c>
      <c r="G58" s="185">
        <v>340</v>
      </c>
      <c r="H58" s="185">
        <v>25.313399999999998</v>
      </c>
      <c r="I58" s="185">
        <v>45.018000000000001</v>
      </c>
      <c r="J58" s="185">
        <v>4.4279999999999999</v>
      </c>
      <c r="K58" s="181">
        <v>48</v>
      </c>
      <c r="P58" s="186">
        <v>122.7594</v>
      </c>
      <c r="Q58" s="186">
        <v>217.2406</v>
      </c>
      <c r="R58" s="183">
        <v>0.1</v>
      </c>
      <c r="S58" s="185">
        <v>-9.75</v>
      </c>
      <c r="T58" s="185">
        <v>11.974060000000001</v>
      </c>
      <c r="U58" s="185">
        <v>21.224060000000001</v>
      </c>
      <c r="V58" s="187">
        <v>25.62406</v>
      </c>
      <c r="X58" s="185">
        <v>480</v>
      </c>
      <c r="Y58" s="185">
        <v>372.04247999999995</v>
      </c>
      <c r="Z58" s="183">
        <v>0.77508849999999996</v>
      </c>
      <c r="AA58" s="185">
        <v>74.759399999999999</v>
      </c>
      <c r="AB58" s="185">
        <v>11.974060000000001</v>
      </c>
      <c r="AC58" s="185">
        <v>21.224060000000001</v>
      </c>
      <c r="AD58" s="185">
        <v>480</v>
      </c>
      <c r="AE58" s="186">
        <v>12.423839999999927</v>
      </c>
      <c r="AF58" s="183">
        <v>0.24847679999999855</v>
      </c>
      <c r="AG58" s="186">
        <v>26.33851999999996</v>
      </c>
      <c r="AH58" s="183">
        <v>0.2633851999999996</v>
      </c>
      <c r="AW58" s="320">
        <v>117.5</v>
      </c>
      <c r="AX58" s="320">
        <v>123.5</v>
      </c>
      <c r="AY58" s="320"/>
      <c r="AZ58" s="320">
        <v>121</v>
      </c>
      <c r="BA58" s="320">
        <v>6.2254499999999995</v>
      </c>
      <c r="BB58" s="320">
        <v>1.089</v>
      </c>
      <c r="BC58" s="320"/>
      <c r="BD58" s="320"/>
      <c r="BE58" s="320"/>
    </row>
    <row r="59" spans="3:57" ht="15" thickBot="1" x14ac:dyDescent="0.25">
      <c r="C59" s="181">
        <v>490</v>
      </c>
      <c r="D59" s="183">
        <v>0.2</v>
      </c>
      <c r="E59" s="185">
        <v>44</v>
      </c>
      <c r="F59" s="181">
        <v>142</v>
      </c>
      <c r="G59" s="185">
        <v>348</v>
      </c>
      <c r="H59" s="185">
        <v>25.313399999999998</v>
      </c>
      <c r="I59" s="185">
        <v>45.018000000000001</v>
      </c>
      <c r="J59" s="185">
        <v>4.4279999999999999</v>
      </c>
      <c r="K59" s="181">
        <v>48</v>
      </c>
      <c r="P59" s="186">
        <v>122.7594</v>
      </c>
      <c r="Q59" s="186">
        <v>225.2406</v>
      </c>
      <c r="R59" s="183">
        <v>0.1</v>
      </c>
      <c r="S59" s="185">
        <v>-9.75</v>
      </c>
      <c r="T59" s="185">
        <v>12.774060000000002</v>
      </c>
      <c r="U59" s="185">
        <v>22.024060000000002</v>
      </c>
      <c r="V59" s="187">
        <v>26.424060000000004</v>
      </c>
      <c r="X59" s="185">
        <v>490</v>
      </c>
      <c r="Y59" s="185">
        <v>380.44247999999999</v>
      </c>
      <c r="Z59" s="183">
        <v>0.77641322448979588</v>
      </c>
      <c r="AA59" s="185">
        <v>74.759399999999999</v>
      </c>
      <c r="AB59" s="185">
        <v>12.774060000000002</v>
      </c>
      <c r="AC59" s="185">
        <v>22.024060000000002</v>
      </c>
      <c r="AD59" s="185">
        <v>490</v>
      </c>
      <c r="AE59" s="186">
        <v>12.423839999999984</v>
      </c>
      <c r="AF59" s="183">
        <v>0.24847679999999969</v>
      </c>
      <c r="AG59" s="186">
        <v>29.223839999999996</v>
      </c>
      <c r="AH59" s="183">
        <v>0.29223839999999995</v>
      </c>
      <c r="AW59" s="320">
        <v>123.5</v>
      </c>
      <c r="AX59" s="320">
        <v>129.5</v>
      </c>
      <c r="AY59" s="320"/>
      <c r="AZ59" s="320">
        <v>127</v>
      </c>
      <c r="BA59" s="320">
        <v>6.5341499999999995</v>
      </c>
      <c r="BB59" s="320">
        <v>1.143</v>
      </c>
      <c r="BC59" s="320"/>
      <c r="BD59" s="320"/>
      <c r="BE59" s="320"/>
    </row>
    <row r="60" spans="3:57" ht="15" thickBot="1" x14ac:dyDescent="0.25">
      <c r="C60" s="181">
        <v>500</v>
      </c>
      <c r="D60" s="183">
        <v>0.2</v>
      </c>
      <c r="E60" s="185">
        <v>44</v>
      </c>
      <c r="F60" s="181">
        <v>144</v>
      </c>
      <c r="G60" s="185">
        <v>356</v>
      </c>
      <c r="H60" s="185">
        <v>25.313399999999998</v>
      </c>
      <c r="I60" s="185">
        <v>45.018000000000001</v>
      </c>
      <c r="J60" s="185">
        <v>4.4279999999999999</v>
      </c>
      <c r="K60" s="181">
        <v>48</v>
      </c>
      <c r="P60" s="186">
        <v>122.7594</v>
      </c>
      <c r="Q60" s="186">
        <v>233.2406</v>
      </c>
      <c r="R60" s="183">
        <v>0.1</v>
      </c>
      <c r="S60" s="185">
        <v>-9.75</v>
      </c>
      <c r="T60" s="185">
        <v>13.574060000000003</v>
      </c>
      <c r="U60" s="185">
        <v>22.824060000000003</v>
      </c>
      <c r="V60" s="187">
        <v>27.224060000000001</v>
      </c>
      <c r="X60" s="185">
        <v>500</v>
      </c>
      <c r="Y60" s="185">
        <v>388.84248000000002</v>
      </c>
      <c r="Z60" s="183">
        <v>0.77768496000000009</v>
      </c>
      <c r="AA60" s="185">
        <v>74.759399999999999</v>
      </c>
      <c r="AB60" s="185">
        <v>13.574060000000003</v>
      </c>
      <c r="AC60" s="185">
        <v>22.824060000000003</v>
      </c>
      <c r="AD60" s="185">
        <v>500</v>
      </c>
      <c r="AE60" s="186">
        <v>16.800000000000068</v>
      </c>
      <c r="AF60" s="183">
        <v>0.33600000000000135</v>
      </c>
      <c r="AG60" s="186">
        <v>29.223839999999996</v>
      </c>
      <c r="AH60" s="183">
        <v>0.29223839999999995</v>
      </c>
      <c r="AW60" s="320">
        <v>129.5</v>
      </c>
      <c r="AX60" s="320">
        <v>135.5</v>
      </c>
      <c r="AY60" s="320"/>
      <c r="AZ60" s="320">
        <v>133</v>
      </c>
      <c r="BA60" s="320">
        <v>6.8428499999999994</v>
      </c>
      <c r="BB60" s="320">
        <v>1.1969999999999998</v>
      </c>
      <c r="BC60" s="320"/>
      <c r="BD60" s="320"/>
      <c r="BE60" s="320"/>
    </row>
    <row r="61" spans="3:57" ht="15" thickBot="1" x14ac:dyDescent="0.25">
      <c r="C61" s="181">
        <v>510</v>
      </c>
      <c r="D61" s="183">
        <v>0.2</v>
      </c>
      <c r="E61" s="185">
        <v>44</v>
      </c>
      <c r="F61" s="181">
        <v>146</v>
      </c>
      <c r="G61" s="185">
        <v>364</v>
      </c>
      <c r="H61" s="185">
        <v>27.165599999999998</v>
      </c>
      <c r="I61" s="185">
        <v>48.311999999999998</v>
      </c>
      <c r="J61" s="185">
        <v>4.7519999999999998</v>
      </c>
      <c r="K61" s="181">
        <v>48</v>
      </c>
      <c r="P61" s="186">
        <v>128.2296</v>
      </c>
      <c r="Q61" s="186">
        <v>235.7704</v>
      </c>
      <c r="R61" s="183">
        <v>0.1</v>
      </c>
      <c r="S61" s="185">
        <v>-9.75</v>
      </c>
      <c r="T61" s="185">
        <v>13.82704</v>
      </c>
      <c r="U61" s="185">
        <v>23.07704</v>
      </c>
      <c r="V61" s="187">
        <v>27.477040000000002</v>
      </c>
      <c r="X61" s="185">
        <v>510</v>
      </c>
      <c r="Y61" s="185">
        <v>392.86632000000003</v>
      </c>
      <c r="Z61" s="183">
        <v>0.77032611764705883</v>
      </c>
      <c r="AA61" s="185">
        <v>80.229599999999991</v>
      </c>
      <c r="AB61" s="185">
        <v>13.82704</v>
      </c>
      <c r="AC61" s="185">
        <v>23.07704</v>
      </c>
      <c r="AD61" s="185">
        <v>510</v>
      </c>
      <c r="AE61" s="186">
        <v>12.423840000000041</v>
      </c>
      <c r="AF61" s="183">
        <v>0.24847680000000083</v>
      </c>
      <c r="AG61" s="186">
        <v>24.847680000000025</v>
      </c>
      <c r="AH61" s="183">
        <v>0.24847680000000025</v>
      </c>
      <c r="AW61" s="320">
        <v>135.5</v>
      </c>
      <c r="AX61" s="320">
        <v>10000</v>
      </c>
      <c r="AY61" s="320"/>
      <c r="AZ61" s="320">
        <v>139</v>
      </c>
      <c r="BA61" s="320">
        <v>7.1515499999999994</v>
      </c>
      <c r="BB61" s="320">
        <v>1.2509999999999999</v>
      </c>
      <c r="BC61" s="320"/>
      <c r="BD61" s="320"/>
      <c r="BE61" s="320"/>
    </row>
    <row r="62" spans="3:57" ht="15" thickBot="1" x14ac:dyDescent="0.25">
      <c r="C62" s="181">
        <v>520</v>
      </c>
      <c r="D62" s="183">
        <v>0.2</v>
      </c>
      <c r="E62" s="185">
        <v>44</v>
      </c>
      <c r="F62" s="181">
        <v>148</v>
      </c>
      <c r="G62" s="185">
        <v>372</v>
      </c>
      <c r="H62" s="185">
        <v>27.165599999999998</v>
      </c>
      <c r="I62" s="185">
        <v>48.311999999999998</v>
      </c>
      <c r="J62" s="185">
        <v>4.7519999999999998</v>
      </c>
      <c r="K62" s="181">
        <v>48</v>
      </c>
      <c r="P62" s="186">
        <v>128.2296</v>
      </c>
      <c r="Q62" s="186">
        <v>243.7704</v>
      </c>
      <c r="R62" s="183">
        <v>0.1</v>
      </c>
      <c r="S62" s="185">
        <v>-9.75</v>
      </c>
      <c r="T62" s="185">
        <v>14.627040000000001</v>
      </c>
      <c r="U62" s="185">
        <v>23.877040000000001</v>
      </c>
      <c r="V62" s="187">
        <v>28.27704</v>
      </c>
      <c r="X62" s="185">
        <v>520</v>
      </c>
      <c r="Y62" s="185">
        <v>401.26632000000001</v>
      </c>
      <c r="Z62" s="183">
        <v>0.77166599999999996</v>
      </c>
      <c r="AA62" s="185">
        <v>80.229599999999991</v>
      </c>
      <c r="AB62" s="185">
        <v>14.627040000000001</v>
      </c>
      <c r="AC62" s="185">
        <v>23.877040000000001</v>
      </c>
      <c r="AD62" s="185">
        <v>520</v>
      </c>
      <c r="AE62" s="186">
        <v>12.423839999999984</v>
      </c>
      <c r="AF62" s="183">
        <v>0.24847679999999969</v>
      </c>
      <c r="AG62" s="186">
        <v>29.223840000000052</v>
      </c>
      <c r="AH62" s="183">
        <v>0.29223840000000051</v>
      </c>
      <c r="AW62" s="320">
        <v>10000</v>
      </c>
      <c r="AX62" s="320"/>
      <c r="AY62" s="320"/>
      <c r="AZ62" s="320"/>
      <c r="BA62" s="320"/>
      <c r="BB62" s="320"/>
      <c r="BC62" s="320"/>
      <c r="BD62" s="320"/>
      <c r="BE62" s="320"/>
    </row>
    <row r="63" spans="3:57" x14ac:dyDescent="0.25">
      <c r="C63" s="181">
        <v>530</v>
      </c>
      <c r="D63" s="183">
        <v>0.2</v>
      </c>
      <c r="E63" s="185">
        <v>44</v>
      </c>
      <c r="F63" s="181">
        <v>150</v>
      </c>
      <c r="G63" s="185">
        <v>380</v>
      </c>
      <c r="H63" s="185">
        <v>27.165599999999998</v>
      </c>
      <c r="I63" s="185">
        <v>48.311999999999998</v>
      </c>
      <c r="J63" s="185">
        <v>4.7519999999999998</v>
      </c>
      <c r="K63" s="181">
        <v>48</v>
      </c>
      <c r="P63" s="186">
        <v>128.2296</v>
      </c>
      <c r="Q63" s="186">
        <v>251.7704</v>
      </c>
      <c r="R63" s="183">
        <v>0.1</v>
      </c>
      <c r="S63" s="185">
        <v>-9.75</v>
      </c>
      <c r="T63" s="185">
        <v>15.427040000000002</v>
      </c>
      <c r="U63" s="185">
        <v>24.677040000000002</v>
      </c>
      <c r="V63" s="187">
        <v>29.077040000000004</v>
      </c>
      <c r="X63" s="185">
        <v>530</v>
      </c>
      <c r="Y63" s="185">
        <v>409.66631999999998</v>
      </c>
      <c r="Z63" s="183">
        <v>0.77295532075471696</v>
      </c>
      <c r="AA63" s="185">
        <v>80.229599999999991</v>
      </c>
      <c r="AB63" s="185">
        <v>15.427040000000002</v>
      </c>
      <c r="AC63" s="185">
        <v>24.677040000000002</v>
      </c>
      <c r="AD63" s="185">
        <v>530</v>
      </c>
      <c r="AE63" s="186">
        <v>16.799999999999955</v>
      </c>
      <c r="AF63" s="183">
        <v>0.33599999999999908</v>
      </c>
      <c r="AG63" s="186">
        <v>29.223839999999996</v>
      </c>
      <c r="AH63" s="183">
        <v>0.29223839999999995</v>
      </c>
    </row>
    <row r="64" spans="3:57" x14ac:dyDescent="0.25">
      <c r="C64" s="181">
        <v>540</v>
      </c>
      <c r="D64" s="183">
        <v>0.2</v>
      </c>
      <c r="E64" s="185">
        <v>44</v>
      </c>
      <c r="F64" s="181">
        <v>152</v>
      </c>
      <c r="G64" s="185">
        <v>388</v>
      </c>
      <c r="H64" s="185">
        <v>27.165599999999998</v>
      </c>
      <c r="I64" s="185">
        <v>48.311999999999998</v>
      </c>
      <c r="J64" s="185">
        <v>4.7519999999999998</v>
      </c>
      <c r="K64" s="181">
        <v>48</v>
      </c>
      <c r="P64" s="186">
        <v>128.2296</v>
      </c>
      <c r="Q64" s="186">
        <v>259.7704</v>
      </c>
      <c r="R64" s="183">
        <v>0.1</v>
      </c>
      <c r="S64" s="185">
        <v>-9.75</v>
      </c>
      <c r="T64" s="185">
        <v>16.227040000000002</v>
      </c>
      <c r="U64" s="185">
        <v>25.477040000000002</v>
      </c>
      <c r="V64" s="187">
        <v>29.877040000000001</v>
      </c>
      <c r="X64" s="185">
        <v>540</v>
      </c>
      <c r="Y64" s="185">
        <v>418.06632000000002</v>
      </c>
      <c r="Z64" s="183">
        <v>0.77419688888888893</v>
      </c>
      <c r="AA64" s="185">
        <v>80.229599999999991</v>
      </c>
      <c r="AB64" s="185">
        <v>16.227040000000002</v>
      </c>
      <c r="AC64" s="185">
        <v>25.477040000000002</v>
      </c>
      <c r="AD64" s="185">
        <v>540</v>
      </c>
      <c r="AE64" s="186">
        <v>16.800000000000011</v>
      </c>
      <c r="AF64" s="183">
        <v>0.33600000000000024</v>
      </c>
      <c r="AG64" s="186">
        <v>29.223839999999996</v>
      </c>
      <c r="AH64" s="183">
        <v>0.29223839999999995</v>
      </c>
    </row>
    <row r="65" spans="3:34" x14ac:dyDescent="0.25">
      <c r="C65" s="181">
        <v>550</v>
      </c>
      <c r="D65" s="183">
        <v>0.2</v>
      </c>
      <c r="E65" s="185">
        <v>44</v>
      </c>
      <c r="F65" s="181">
        <v>154</v>
      </c>
      <c r="G65" s="185">
        <v>396</v>
      </c>
      <c r="H65" s="185">
        <v>29.017799999999998</v>
      </c>
      <c r="I65" s="185">
        <v>51.605999999999995</v>
      </c>
      <c r="J65" s="185">
        <v>5.0759999999999996</v>
      </c>
      <c r="K65" s="181">
        <v>48</v>
      </c>
      <c r="P65" s="186">
        <v>133.69979999999998</v>
      </c>
      <c r="Q65" s="186">
        <v>262.30020000000002</v>
      </c>
      <c r="R65" s="183">
        <v>0.1</v>
      </c>
      <c r="S65" s="185">
        <v>-9.75</v>
      </c>
      <c r="T65" s="185">
        <v>16.480020000000003</v>
      </c>
      <c r="U65" s="185">
        <v>25.730020000000003</v>
      </c>
      <c r="V65" s="187">
        <v>30.130020000000002</v>
      </c>
      <c r="X65" s="185">
        <v>550</v>
      </c>
      <c r="Y65" s="185">
        <v>422.09016000000003</v>
      </c>
      <c r="Z65" s="183">
        <v>0.76743665454545462</v>
      </c>
      <c r="AA65" s="185">
        <v>85.699799999999982</v>
      </c>
      <c r="AB65" s="185">
        <v>16.480020000000003</v>
      </c>
      <c r="AC65" s="185">
        <v>25.730020000000003</v>
      </c>
      <c r="AD65" s="185">
        <v>550</v>
      </c>
      <c r="AE65" s="186">
        <v>12.423840000000041</v>
      </c>
      <c r="AF65" s="183">
        <v>0.24847680000000083</v>
      </c>
      <c r="AG65" s="186">
        <v>29.223839999999996</v>
      </c>
      <c r="AH65" s="183">
        <v>0.29223839999999995</v>
      </c>
    </row>
    <row r="66" spans="3:34" x14ac:dyDescent="0.25">
      <c r="C66" s="181">
        <v>560</v>
      </c>
      <c r="D66" s="183">
        <v>0.2</v>
      </c>
      <c r="E66" s="185">
        <v>44</v>
      </c>
      <c r="F66" s="181">
        <v>156</v>
      </c>
      <c r="G66" s="185">
        <v>404</v>
      </c>
      <c r="H66" s="185">
        <v>29.017799999999998</v>
      </c>
      <c r="I66" s="185">
        <v>51.605999999999995</v>
      </c>
      <c r="J66" s="185">
        <v>5.0759999999999996</v>
      </c>
      <c r="K66" s="181">
        <v>48</v>
      </c>
      <c r="P66" s="186">
        <v>133.69979999999998</v>
      </c>
      <c r="Q66" s="186">
        <v>270.30020000000002</v>
      </c>
      <c r="R66" s="183">
        <v>0.1</v>
      </c>
      <c r="S66" s="185">
        <v>-9.75</v>
      </c>
      <c r="T66" s="185">
        <v>17.280020000000004</v>
      </c>
      <c r="U66" s="185">
        <v>26.530020000000004</v>
      </c>
      <c r="V66" s="187">
        <v>30.930020000000006</v>
      </c>
      <c r="X66" s="185">
        <v>560</v>
      </c>
      <c r="Y66" s="185">
        <v>430.49016</v>
      </c>
      <c r="Z66" s="183">
        <v>0.76873242857142854</v>
      </c>
      <c r="AA66" s="185">
        <v>85.699799999999982</v>
      </c>
      <c r="AB66" s="185">
        <v>17.280020000000004</v>
      </c>
      <c r="AC66" s="185">
        <v>26.530020000000004</v>
      </c>
      <c r="AD66" s="185">
        <v>560</v>
      </c>
      <c r="AE66" s="186">
        <v>12.423839999999984</v>
      </c>
      <c r="AF66" s="183">
        <v>0.24847679999999969</v>
      </c>
      <c r="AG66" s="186">
        <v>29.223839999999996</v>
      </c>
      <c r="AH66" s="183">
        <v>0.29223839999999995</v>
      </c>
    </row>
    <row r="67" spans="3:34" x14ac:dyDescent="0.25">
      <c r="C67" s="181">
        <v>570</v>
      </c>
      <c r="D67" s="183">
        <v>0.2</v>
      </c>
      <c r="E67" s="185">
        <v>44</v>
      </c>
      <c r="F67" s="181">
        <v>158</v>
      </c>
      <c r="G67" s="185">
        <v>412</v>
      </c>
      <c r="H67" s="185">
        <v>29.017799999999998</v>
      </c>
      <c r="I67" s="185">
        <v>51.605999999999995</v>
      </c>
      <c r="J67" s="185">
        <v>5.0759999999999996</v>
      </c>
      <c r="K67" s="181">
        <v>48</v>
      </c>
      <c r="P67" s="186">
        <v>133.69979999999998</v>
      </c>
      <c r="Q67" s="186">
        <v>278.30020000000002</v>
      </c>
      <c r="R67" s="183">
        <v>0.1</v>
      </c>
      <c r="S67" s="185">
        <v>-9.75</v>
      </c>
      <c r="T67" s="185">
        <v>18.080020000000005</v>
      </c>
      <c r="U67" s="185">
        <v>27.330020000000005</v>
      </c>
      <c r="V67" s="187">
        <v>31.730020000000003</v>
      </c>
      <c r="X67" s="185">
        <v>570</v>
      </c>
      <c r="Y67" s="185">
        <v>438.89016000000004</v>
      </c>
      <c r="Z67" s="183">
        <v>0.76998273684210528</v>
      </c>
      <c r="AA67" s="185">
        <v>85.699799999999982</v>
      </c>
      <c r="AB67" s="185">
        <v>18.080020000000005</v>
      </c>
      <c r="AC67" s="185">
        <v>27.330020000000005</v>
      </c>
      <c r="AD67" s="185">
        <v>570</v>
      </c>
      <c r="AE67" s="186">
        <v>16.800000000000011</v>
      </c>
      <c r="AF67" s="183">
        <v>0.33600000000000024</v>
      </c>
      <c r="AG67" s="186">
        <v>29.223840000000052</v>
      </c>
      <c r="AH67" s="183">
        <v>0.29223840000000051</v>
      </c>
    </row>
    <row r="68" spans="3:34" x14ac:dyDescent="0.25">
      <c r="C68" s="181">
        <v>580</v>
      </c>
      <c r="D68" s="183">
        <v>0.2</v>
      </c>
      <c r="E68" s="185">
        <v>44</v>
      </c>
      <c r="F68" s="181">
        <v>160</v>
      </c>
      <c r="G68" s="185">
        <v>420</v>
      </c>
      <c r="H68" s="185">
        <v>29.017799999999998</v>
      </c>
      <c r="I68" s="185">
        <v>51.605999999999995</v>
      </c>
      <c r="J68" s="185">
        <v>5.0759999999999996</v>
      </c>
      <c r="K68" s="181">
        <v>48</v>
      </c>
      <c r="P68" s="186">
        <v>133.69979999999998</v>
      </c>
      <c r="Q68" s="186">
        <v>286.30020000000002</v>
      </c>
      <c r="R68" s="183">
        <v>0.1</v>
      </c>
      <c r="S68" s="185">
        <v>-9.75</v>
      </c>
      <c r="T68" s="185">
        <v>18.880020000000002</v>
      </c>
      <c r="U68" s="185">
        <v>28.130020000000002</v>
      </c>
      <c r="V68" s="187">
        <v>32.53002</v>
      </c>
      <c r="X68" s="185">
        <v>580</v>
      </c>
      <c r="Y68" s="185">
        <v>447.29016000000001</v>
      </c>
      <c r="Z68" s="183">
        <v>0.77118993103448275</v>
      </c>
      <c r="AA68" s="185">
        <v>85.699799999999982</v>
      </c>
      <c r="AB68" s="185">
        <v>18.880020000000002</v>
      </c>
      <c r="AC68" s="185">
        <v>28.130020000000002</v>
      </c>
      <c r="AD68" s="185">
        <v>580</v>
      </c>
      <c r="AE68" s="186">
        <v>16.800000000000011</v>
      </c>
      <c r="AF68" s="183">
        <v>0.33600000000000024</v>
      </c>
      <c r="AG68" s="186">
        <v>29.223839999999996</v>
      </c>
      <c r="AH68" s="183">
        <v>0.29223839999999995</v>
      </c>
    </row>
    <row r="69" spans="3:34" x14ac:dyDescent="0.25">
      <c r="C69" s="181">
        <v>590</v>
      </c>
      <c r="D69" s="183">
        <v>0.2</v>
      </c>
      <c r="E69" s="185">
        <v>44</v>
      </c>
      <c r="F69" s="181">
        <v>162</v>
      </c>
      <c r="G69" s="185">
        <v>428</v>
      </c>
      <c r="H69" s="185">
        <v>30.869999999999997</v>
      </c>
      <c r="I69" s="185">
        <v>54.900000000000006</v>
      </c>
      <c r="J69" s="185">
        <v>5.3999999999999995</v>
      </c>
      <c r="K69" s="181">
        <v>48</v>
      </c>
      <c r="P69" s="186">
        <v>139.17000000000002</v>
      </c>
      <c r="Q69" s="186">
        <v>288.83</v>
      </c>
      <c r="R69" s="183">
        <v>0.1</v>
      </c>
      <c r="S69" s="185">
        <v>-9.75</v>
      </c>
      <c r="T69" s="185">
        <v>19.132999999999999</v>
      </c>
      <c r="U69" s="185">
        <v>28.382999999999999</v>
      </c>
      <c r="V69" s="187">
        <v>32.783000000000001</v>
      </c>
      <c r="X69" s="185">
        <v>590</v>
      </c>
      <c r="Y69" s="185">
        <v>451.31399999999996</v>
      </c>
      <c r="Z69" s="183">
        <v>0.7649389830508474</v>
      </c>
      <c r="AA69" s="185">
        <v>91.170000000000016</v>
      </c>
      <c r="AB69" s="185">
        <v>19.132999999999999</v>
      </c>
      <c r="AC69" s="185">
        <v>28.382999999999999</v>
      </c>
      <c r="AD69" s="185">
        <v>590</v>
      </c>
      <c r="AE69" s="186">
        <v>12.423839999999927</v>
      </c>
      <c r="AF69" s="183">
        <v>0.24847679999999855</v>
      </c>
      <c r="AG69" s="186">
        <v>29.223839999999939</v>
      </c>
      <c r="AH69" s="183">
        <v>0.2922383999999994</v>
      </c>
    </row>
    <row r="70" spans="3:34" x14ac:dyDescent="0.25">
      <c r="C70" s="181">
        <v>600</v>
      </c>
      <c r="D70" s="183">
        <v>0.2</v>
      </c>
      <c r="E70" s="185">
        <v>44</v>
      </c>
      <c r="F70" s="181">
        <v>164</v>
      </c>
      <c r="G70" s="185">
        <v>436</v>
      </c>
      <c r="H70" s="185">
        <v>30.869999999999997</v>
      </c>
      <c r="I70" s="185">
        <v>54.900000000000006</v>
      </c>
      <c r="J70" s="185">
        <v>5.3999999999999995</v>
      </c>
      <c r="K70" s="181">
        <v>48</v>
      </c>
      <c r="P70" s="186">
        <v>139.17000000000002</v>
      </c>
      <c r="Q70" s="186">
        <v>296.83</v>
      </c>
      <c r="R70" s="183">
        <v>0.1</v>
      </c>
      <c r="S70" s="185">
        <v>-9.75</v>
      </c>
      <c r="T70" s="185">
        <v>19.933</v>
      </c>
      <c r="U70" s="185">
        <v>29.183</v>
      </c>
      <c r="V70" s="187">
        <v>33.582999999999998</v>
      </c>
      <c r="X70" s="185">
        <v>600</v>
      </c>
      <c r="Y70" s="185">
        <v>459.714</v>
      </c>
      <c r="Z70" s="183">
        <v>0.76619000000000004</v>
      </c>
      <c r="AA70" s="185">
        <v>91.170000000000016</v>
      </c>
      <c r="AB70" s="185">
        <v>19.933</v>
      </c>
      <c r="AC70" s="185">
        <v>29.183</v>
      </c>
      <c r="AD70" s="185">
        <v>600</v>
      </c>
      <c r="AE70" s="186">
        <v>12.423839999999984</v>
      </c>
      <c r="AF70" s="183">
        <v>0.24847679999999969</v>
      </c>
      <c r="AG70" s="186">
        <v>29.223839999999996</v>
      </c>
      <c r="AH70" s="183">
        <v>0.29223839999999995</v>
      </c>
    </row>
    <row r="71" spans="3:34" x14ac:dyDescent="0.25">
      <c r="C71" s="181">
        <v>610</v>
      </c>
      <c r="D71" s="183">
        <v>0.2</v>
      </c>
      <c r="E71" s="185">
        <v>44</v>
      </c>
      <c r="F71" s="181">
        <v>166</v>
      </c>
      <c r="G71" s="185">
        <v>444</v>
      </c>
      <c r="H71" s="185">
        <v>30.869999999999997</v>
      </c>
      <c r="I71" s="185">
        <v>54.900000000000006</v>
      </c>
      <c r="J71" s="185">
        <v>5.3999999999999995</v>
      </c>
      <c r="K71" s="181">
        <v>48</v>
      </c>
      <c r="P71" s="186">
        <v>139.17000000000002</v>
      </c>
      <c r="Q71" s="186">
        <v>304.83</v>
      </c>
      <c r="R71" s="183">
        <v>0.1</v>
      </c>
      <c r="S71" s="185">
        <v>-9.75</v>
      </c>
      <c r="T71" s="185">
        <v>20.733000000000001</v>
      </c>
      <c r="U71" s="185">
        <v>29.983000000000001</v>
      </c>
      <c r="V71" s="187">
        <v>34.383000000000003</v>
      </c>
      <c r="X71" s="185">
        <v>610</v>
      </c>
      <c r="Y71" s="185">
        <v>468.11399999999998</v>
      </c>
      <c r="Z71" s="183">
        <v>0.76739999999999997</v>
      </c>
      <c r="AA71" s="185">
        <v>91.170000000000016</v>
      </c>
      <c r="AB71" s="185">
        <v>20.733000000000001</v>
      </c>
      <c r="AC71" s="185">
        <v>29.983000000000001</v>
      </c>
      <c r="AD71" s="185">
        <v>610</v>
      </c>
      <c r="AE71" s="186">
        <v>16.800000000000011</v>
      </c>
      <c r="AF71" s="183">
        <v>0.33600000000000024</v>
      </c>
      <c r="AG71" s="186">
        <v>29.223839999999939</v>
      </c>
      <c r="AH71" s="183">
        <v>0.2922383999999994</v>
      </c>
    </row>
    <row r="72" spans="3:34" x14ac:dyDescent="0.25">
      <c r="C72" s="181">
        <v>620</v>
      </c>
      <c r="D72" s="183">
        <v>0.2</v>
      </c>
      <c r="E72" s="185">
        <v>44</v>
      </c>
      <c r="F72" s="181">
        <v>168</v>
      </c>
      <c r="G72" s="185">
        <v>452</v>
      </c>
      <c r="H72" s="185">
        <v>32.722200000000001</v>
      </c>
      <c r="I72" s="185">
        <v>58.194000000000003</v>
      </c>
      <c r="J72" s="185">
        <v>5.7240000000000002</v>
      </c>
      <c r="K72" s="181">
        <v>48</v>
      </c>
      <c r="P72" s="186">
        <v>144.64019999999999</v>
      </c>
      <c r="Q72" s="186">
        <v>307.35980000000001</v>
      </c>
      <c r="R72" s="183">
        <v>0.1</v>
      </c>
      <c r="S72" s="185">
        <v>-9.75</v>
      </c>
      <c r="T72" s="185">
        <v>20.985980000000001</v>
      </c>
      <c r="U72" s="185">
        <v>30.235980000000001</v>
      </c>
      <c r="V72" s="187">
        <v>34.635980000000004</v>
      </c>
      <c r="X72" s="185">
        <v>620</v>
      </c>
      <c r="Y72" s="185">
        <v>472.13783999999998</v>
      </c>
      <c r="Z72" s="183">
        <v>0.76151264516129025</v>
      </c>
      <c r="AA72" s="185">
        <v>96.640200000000007</v>
      </c>
      <c r="AB72" s="185">
        <v>20.985980000000001</v>
      </c>
      <c r="AC72" s="185">
        <v>30.235980000000001</v>
      </c>
      <c r="AD72" s="185">
        <v>620</v>
      </c>
      <c r="AE72" s="186">
        <v>12.423839999999984</v>
      </c>
      <c r="AF72" s="183">
        <v>0.24847679999999969</v>
      </c>
      <c r="AG72" s="186">
        <v>24.847679999999968</v>
      </c>
      <c r="AH72" s="183">
        <v>0.24847679999999969</v>
      </c>
    </row>
    <row r="73" spans="3:34" x14ac:dyDescent="0.25">
      <c r="C73" s="181">
        <v>630</v>
      </c>
      <c r="D73" s="183">
        <v>0.2</v>
      </c>
      <c r="E73" s="185">
        <v>44</v>
      </c>
      <c r="F73" s="181">
        <v>170</v>
      </c>
      <c r="G73" s="185">
        <v>460</v>
      </c>
      <c r="H73" s="185">
        <v>32.722200000000001</v>
      </c>
      <c r="I73" s="185">
        <v>58.194000000000003</v>
      </c>
      <c r="J73" s="185">
        <v>5.7240000000000002</v>
      </c>
      <c r="K73" s="181">
        <v>48</v>
      </c>
      <c r="P73" s="186">
        <v>144.64019999999999</v>
      </c>
      <c r="Q73" s="186">
        <v>315.35980000000001</v>
      </c>
      <c r="R73" s="183">
        <v>0.1</v>
      </c>
      <c r="S73" s="185">
        <v>-9.75</v>
      </c>
      <c r="T73" s="185">
        <v>21.785980000000002</v>
      </c>
      <c r="U73" s="185">
        <v>31.035980000000002</v>
      </c>
      <c r="V73" s="187">
        <v>35.435980000000001</v>
      </c>
      <c r="X73" s="185">
        <v>630</v>
      </c>
      <c r="Y73" s="185">
        <v>480.53783999999996</v>
      </c>
      <c r="Z73" s="183">
        <v>0.7627584761904761</v>
      </c>
      <c r="AA73" s="185">
        <v>96.640200000000007</v>
      </c>
      <c r="AB73" s="185">
        <v>21.785980000000002</v>
      </c>
      <c r="AC73" s="185">
        <v>31.035980000000002</v>
      </c>
      <c r="AD73" s="185">
        <v>630</v>
      </c>
      <c r="AE73" s="186">
        <v>12.423839999999984</v>
      </c>
      <c r="AF73" s="183">
        <v>0.24847679999999969</v>
      </c>
      <c r="AG73" s="186">
        <v>29.223839999999996</v>
      </c>
      <c r="AH73" s="183">
        <v>0.29223839999999995</v>
      </c>
    </row>
    <row r="74" spans="3:34" x14ac:dyDescent="0.25">
      <c r="C74" s="181">
        <v>640</v>
      </c>
      <c r="D74" s="183">
        <v>0.2</v>
      </c>
      <c r="E74" s="185">
        <v>44</v>
      </c>
      <c r="F74" s="181">
        <v>172</v>
      </c>
      <c r="G74" s="185">
        <v>468</v>
      </c>
      <c r="H74" s="185">
        <v>32.722200000000001</v>
      </c>
      <c r="I74" s="185">
        <v>58.194000000000003</v>
      </c>
      <c r="J74" s="185">
        <v>5.7240000000000002</v>
      </c>
      <c r="K74" s="181">
        <v>48</v>
      </c>
      <c r="P74" s="186">
        <v>144.64019999999999</v>
      </c>
      <c r="Q74" s="186">
        <v>323.35980000000001</v>
      </c>
      <c r="R74" s="183">
        <v>0.1</v>
      </c>
      <c r="S74" s="185">
        <v>-9.75</v>
      </c>
      <c r="T74" s="185">
        <v>22.585979999999999</v>
      </c>
      <c r="U74" s="185">
        <v>31.835979999999999</v>
      </c>
      <c r="V74" s="187">
        <v>36.235979999999998</v>
      </c>
      <c r="X74" s="185">
        <v>640</v>
      </c>
      <c r="Y74" s="185">
        <v>488.93783999999999</v>
      </c>
      <c r="Z74" s="183">
        <v>0.76396537499999995</v>
      </c>
      <c r="AA74" s="185">
        <v>96.640200000000007</v>
      </c>
      <c r="AB74" s="185">
        <v>22.585979999999999</v>
      </c>
      <c r="AC74" s="185">
        <v>31.835979999999999</v>
      </c>
      <c r="AD74" s="185">
        <v>640</v>
      </c>
      <c r="AE74" s="186">
        <v>16.800000000000011</v>
      </c>
      <c r="AF74" s="183">
        <v>0.33600000000000024</v>
      </c>
      <c r="AG74" s="186">
        <v>29.223839999999996</v>
      </c>
      <c r="AH74" s="183">
        <v>0.29223839999999995</v>
      </c>
    </row>
    <row r="75" spans="3:34" x14ac:dyDescent="0.25">
      <c r="C75" s="181">
        <v>650</v>
      </c>
      <c r="D75" s="183">
        <v>0.2</v>
      </c>
      <c r="E75" s="185">
        <v>44</v>
      </c>
      <c r="F75" s="181">
        <v>174</v>
      </c>
      <c r="G75" s="185">
        <v>476</v>
      </c>
      <c r="H75" s="185">
        <v>32.722200000000001</v>
      </c>
      <c r="I75" s="185">
        <v>58.194000000000003</v>
      </c>
      <c r="J75" s="185">
        <v>5.7240000000000002</v>
      </c>
      <c r="K75" s="181">
        <v>48</v>
      </c>
      <c r="P75" s="186">
        <v>144.64019999999999</v>
      </c>
      <c r="Q75" s="186">
        <v>331.35980000000001</v>
      </c>
      <c r="R75" s="183">
        <v>0.2</v>
      </c>
      <c r="S75" s="185">
        <v>-42.75</v>
      </c>
      <c r="T75" s="185">
        <v>23.521960000000007</v>
      </c>
      <c r="U75" s="185">
        <v>32.635980000000004</v>
      </c>
      <c r="V75" s="187">
        <v>37.171960000000006</v>
      </c>
      <c r="X75" s="185">
        <v>650</v>
      </c>
      <c r="Y75" s="185">
        <v>497.20186000000001</v>
      </c>
      <c r="Z75" s="183">
        <v>0.76492593846153845</v>
      </c>
      <c r="AA75" s="185">
        <v>96.640200000000007</v>
      </c>
      <c r="AB75" s="185">
        <v>23.521960000000007</v>
      </c>
      <c r="AC75" s="185">
        <v>32.635980000000004</v>
      </c>
      <c r="AD75" s="185">
        <v>650</v>
      </c>
      <c r="AE75" s="186">
        <v>16.66402000000005</v>
      </c>
      <c r="AF75" s="183">
        <v>0.33328040000000103</v>
      </c>
      <c r="AG75" s="186">
        <v>29.087860000000035</v>
      </c>
      <c r="AH75" s="183">
        <v>0.29087860000000032</v>
      </c>
    </row>
    <row r="76" spans="3:34" x14ac:dyDescent="0.25">
      <c r="C76" s="181">
        <v>660</v>
      </c>
      <c r="D76" s="183">
        <v>0.1</v>
      </c>
      <c r="E76" s="185">
        <v>110</v>
      </c>
      <c r="F76" s="181">
        <v>176</v>
      </c>
      <c r="G76" s="185">
        <v>484</v>
      </c>
      <c r="H76" s="185">
        <v>34.574399999999997</v>
      </c>
      <c r="I76" s="185">
        <v>61.488</v>
      </c>
      <c r="J76" s="185">
        <v>6.048</v>
      </c>
      <c r="K76" s="181">
        <v>48</v>
      </c>
      <c r="P76" s="186">
        <v>150.1104</v>
      </c>
      <c r="Q76" s="186">
        <v>333.88959999999997</v>
      </c>
      <c r="R76" s="183">
        <v>0.2</v>
      </c>
      <c r="S76" s="185">
        <v>-42.75</v>
      </c>
      <c r="T76" s="185">
        <v>24.027919999999995</v>
      </c>
      <c r="U76" s="185">
        <v>32.888959999999997</v>
      </c>
      <c r="V76" s="187">
        <v>37.677919999999993</v>
      </c>
      <c r="X76" s="185">
        <v>660</v>
      </c>
      <c r="Y76" s="185">
        <v>500.97271999999998</v>
      </c>
      <c r="Z76" s="183">
        <v>0.7590495757575757</v>
      </c>
      <c r="AA76" s="185">
        <v>102.1104</v>
      </c>
      <c r="AB76" s="185">
        <v>24.027919999999995</v>
      </c>
      <c r="AC76" s="185">
        <v>32.888959999999997</v>
      </c>
      <c r="AD76" s="185">
        <v>660</v>
      </c>
      <c r="AE76" s="186">
        <v>12.034879999999987</v>
      </c>
      <c r="AF76" s="183">
        <v>0.24069759999999973</v>
      </c>
      <c r="AG76" s="186">
        <v>28.834879999999998</v>
      </c>
      <c r="AH76" s="183">
        <v>0.28834879999999996</v>
      </c>
    </row>
    <row r="77" spans="3:34" x14ac:dyDescent="0.25">
      <c r="C77" s="181">
        <v>670</v>
      </c>
      <c r="D77" s="183">
        <v>0.1</v>
      </c>
      <c r="E77" s="185">
        <v>110</v>
      </c>
      <c r="F77" s="181">
        <v>177</v>
      </c>
      <c r="G77" s="185">
        <v>493</v>
      </c>
      <c r="H77" s="185">
        <v>34.574399999999997</v>
      </c>
      <c r="I77" s="185">
        <v>61.488</v>
      </c>
      <c r="J77" s="185">
        <v>6.048</v>
      </c>
      <c r="K77" s="181">
        <v>48</v>
      </c>
      <c r="P77" s="186">
        <v>150.1104</v>
      </c>
      <c r="Q77" s="186">
        <v>342.88959999999997</v>
      </c>
      <c r="R77" s="183">
        <v>0.2</v>
      </c>
      <c r="S77" s="185">
        <v>-42.75</v>
      </c>
      <c r="T77" s="185">
        <v>25.827919999999992</v>
      </c>
      <c r="U77" s="185">
        <v>33.788959999999996</v>
      </c>
      <c r="V77" s="187">
        <v>39.47791999999999</v>
      </c>
      <c r="X77" s="185">
        <v>670</v>
      </c>
      <c r="Y77" s="185">
        <v>508.27272000000005</v>
      </c>
      <c r="Z77" s="183">
        <v>0.75861600000000007</v>
      </c>
      <c r="AA77" s="185">
        <v>102.1104</v>
      </c>
      <c r="AB77" s="185">
        <v>25.827919999999992</v>
      </c>
      <c r="AC77" s="185">
        <v>33.788959999999996</v>
      </c>
      <c r="AD77" s="185">
        <v>670</v>
      </c>
      <c r="AE77" s="186">
        <v>11.070860000000039</v>
      </c>
      <c r="AF77" s="183">
        <v>0.22141720000000079</v>
      </c>
      <c r="AG77" s="186">
        <v>27.734880000000089</v>
      </c>
      <c r="AH77" s="183">
        <v>0.27734880000000089</v>
      </c>
    </row>
    <row r="78" spans="3:34" x14ac:dyDescent="0.25">
      <c r="C78" s="181">
        <v>680</v>
      </c>
      <c r="D78" s="183">
        <v>0.1</v>
      </c>
      <c r="E78" s="185">
        <v>110</v>
      </c>
      <c r="F78" s="181">
        <v>178</v>
      </c>
      <c r="G78" s="185">
        <v>502</v>
      </c>
      <c r="H78" s="185">
        <v>34.574399999999997</v>
      </c>
      <c r="I78" s="185">
        <v>61.488</v>
      </c>
      <c r="J78" s="185">
        <v>6.048</v>
      </c>
      <c r="K78" s="181">
        <v>48</v>
      </c>
      <c r="P78" s="186">
        <v>150.1104</v>
      </c>
      <c r="Q78" s="186">
        <v>351.88959999999997</v>
      </c>
      <c r="R78" s="183">
        <v>0.2</v>
      </c>
      <c r="S78" s="185">
        <v>-42.75</v>
      </c>
      <c r="T78" s="185">
        <v>27.627920000000003</v>
      </c>
      <c r="U78" s="185">
        <v>34.688960000000002</v>
      </c>
      <c r="V78" s="187">
        <v>41.277920000000002</v>
      </c>
      <c r="X78" s="185">
        <v>680</v>
      </c>
      <c r="Y78" s="185">
        <v>515.57272</v>
      </c>
      <c r="Z78" s="183">
        <v>0.75819517647058821</v>
      </c>
      <c r="AA78" s="185">
        <v>102.1104</v>
      </c>
      <c r="AB78" s="185">
        <v>27.627920000000003</v>
      </c>
      <c r="AC78" s="185">
        <v>34.688960000000002</v>
      </c>
      <c r="AD78" s="185">
        <v>680</v>
      </c>
      <c r="AE78" s="186">
        <v>14.600000000000023</v>
      </c>
      <c r="AF78" s="183">
        <v>0.29200000000000048</v>
      </c>
      <c r="AG78" s="186">
        <v>26.63488000000001</v>
      </c>
      <c r="AH78" s="183">
        <v>0.26634880000000011</v>
      </c>
    </row>
    <row r="79" spans="3:34" x14ac:dyDescent="0.25">
      <c r="C79" s="181">
        <v>690</v>
      </c>
      <c r="D79" s="183">
        <v>0.1</v>
      </c>
      <c r="E79" s="185">
        <v>110</v>
      </c>
      <c r="F79" s="181">
        <v>179</v>
      </c>
      <c r="G79" s="185">
        <v>511</v>
      </c>
      <c r="H79" s="185">
        <v>36.426599999999993</v>
      </c>
      <c r="I79" s="185">
        <v>64.782000000000011</v>
      </c>
      <c r="J79" s="185">
        <v>6.371999999999999</v>
      </c>
      <c r="K79" s="181">
        <v>48</v>
      </c>
      <c r="P79" s="186">
        <v>155.5806</v>
      </c>
      <c r="Q79" s="186">
        <v>355.4194</v>
      </c>
      <c r="R79" s="183">
        <v>0.2</v>
      </c>
      <c r="S79" s="185">
        <v>-42.75</v>
      </c>
      <c r="T79" s="185">
        <v>28.333880000000008</v>
      </c>
      <c r="U79" s="185">
        <v>35.041940000000004</v>
      </c>
      <c r="V79" s="187">
        <v>41.983880000000006</v>
      </c>
      <c r="X79" s="185">
        <v>690</v>
      </c>
      <c r="Y79" s="185">
        <v>519.04358000000002</v>
      </c>
      <c r="Z79" s="183">
        <v>0.75223707246376814</v>
      </c>
      <c r="AA79" s="185">
        <v>107.5806</v>
      </c>
      <c r="AB79" s="185">
        <v>28.333880000000008</v>
      </c>
      <c r="AC79" s="185">
        <v>35.041940000000004</v>
      </c>
      <c r="AD79" s="185">
        <v>690</v>
      </c>
      <c r="AE79" s="186">
        <v>10.770859999999971</v>
      </c>
      <c r="AF79" s="183">
        <v>0.21541719999999942</v>
      </c>
      <c r="AG79" s="186">
        <v>21.841720000000009</v>
      </c>
      <c r="AH79" s="183">
        <v>0.21841720000000009</v>
      </c>
    </row>
    <row r="80" spans="3:34" x14ac:dyDescent="0.25">
      <c r="C80" s="181">
        <v>700</v>
      </c>
      <c r="D80" s="183">
        <v>0.1</v>
      </c>
      <c r="E80" s="185">
        <v>110</v>
      </c>
      <c r="F80" s="181">
        <v>180</v>
      </c>
      <c r="G80" s="185">
        <v>520</v>
      </c>
      <c r="H80" s="185">
        <v>36.426599999999993</v>
      </c>
      <c r="I80" s="185">
        <v>64.782000000000011</v>
      </c>
      <c r="J80" s="185">
        <v>6.371999999999999</v>
      </c>
      <c r="K80" s="181">
        <v>48</v>
      </c>
      <c r="P80" s="186">
        <v>155.5806</v>
      </c>
      <c r="Q80" s="186">
        <v>364.4194</v>
      </c>
      <c r="R80" s="183">
        <v>0.2</v>
      </c>
      <c r="S80" s="185">
        <v>-42.75</v>
      </c>
      <c r="T80" s="185">
        <v>30.133880000000005</v>
      </c>
      <c r="U80" s="185">
        <v>35.941940000000002</v>
      </c>
      <c r="V80" s="187">
        <v>43.783880000000003</v>
      </c>
      <c r="X80" s="185">
        <v>700</v>
      </c>
      <c r="Y80" s="185">
        <v>526.34357999999997</v>
      </c>
      <c r="Z80" s="183">
        <v>0.75191940000000002</v>
      </c>
      <c r="AA80" s="185">
        <v>107.5806</v>
      </c>
      <c r="AB80" s="185">
        <v>30.133880000000005</v>
      </c>
      <c r="AC80" s="185">
        <v>35.941940000000002</v>
      </c>
      <c r="AD80" s="185">
        <v>700</v>
      </c>
      <c r="AE80" s="186">
        <v>10.770859999999971</v>
      </c>
      <c r="AF80" s="183">
        <v>0.21541719999999942</v>
      </c>
      <c r="AG80" s="186">
        <v>25.370859999999993</v>
      </c>
      <c r="AH80" s="183">
        <v>0.25370859999999995</v>
      </c>
    </row>
    <row r="81" spans="3:34" x14ac:dyDescent="0.25">
      <c r="C81" s="181">
        <v>710</v>
      </c>
      <c r="D81" s="183">
        <v>0.1</v>
      </c>
      <c r="E81" s="185">
        <v>110</v>
      </c>
      <c r="F81" s="181">
        <v>181</v>
      </c>
      <c r="G81" s="185">
        <v>529</v>
      </c>
      <c r="H81" s="185">
        <v>36.426599999999993</v>
      </c>
      <c r="I81" s="185">
        <v>64.782000000000011</v>
      </c>
      <c r="J81" s="185">
        <v>6.371999999999999</v>
      </c>
      <c r="K81" s="181">
        <v>48</v>
      </c>
      <c r="P81" s="186">
        <v>155.5806</v>
      </c>
      <c r="Q81" s="186">
        <v>373.4194</v>
      </c>
      <c r="R81" s="183">
        <v>0.2</v>
      </c>
      <c r="S81" s="185">
        <v>-42.75</v>
      </c>
      <c r="T81" s="185">
        <v>31.933880000000002</v>
      </c>
      <c r="U81" s="185">
        <v>36.841940000000001</v>
      </c>
      <c r="V81" s="187">
        <v>45.583880000000001</v>
      </c>
      <c r="X81" s="185">
        <v>710</v>
      </c>
      <c r="Y81" s="185">
        <v>533.64358000000004</v>
      </c>
      <c r="Z81" s="183">
        <v>0.75161067605633813</v>
      </c>
      <c r="AA81" s="185">
        <v>107.5806</v>
      </c>
      <c r="AB81" s="185">
        <v>31.933880000000002</v>
      </c>
      <c r="AC81" s="185">
        <v>36.841940000000001</v>
      </c>
      <c r="AD81" s="185">
        <v>710</v>
      </c>
      <c r="AE81" s="186">
        <v>14.600000000000023</v>
      </c>
      <c r="AF81" s="183">
        <v>0.29200000000000048</v>
      </c>
      <c r="AG81" s="186">
        <v>25.370859999999993</v>
      </c>
      <c r="AH81" s="183">
        <v>0.25370859999999995</v>
      </c>
    </row>
    <row r="82" spans="3:34" x14ac:dyDescent="0.25">
      <c r="C82" s="181">
        <v>720</v>
      </c>
      <c r="D82" s="183">
        <v>0.1</v>
      </c>
      <c r="E82" s="185">
        <v>110</v>
      </c>
      <c r="F82" s="181">
        <v>182</v>
      </c>
      <c r="G82" s="185">
        <v>538</v>
      </c>
      <c r="H82" s="185">
        <v>36.426599999999993</v>
      </c>
      <c r="I82" s="185">
        <v>64.782000000000011</v>
      </c>
      <c r="J82" s="185">
        <v>6.371999999999999</v>
      </c>
      <c r="K82" s="181">
        <v>48</v>
      </c>
      <c r="P82" s="186">
        <v>155.5806</v>
      </c>
      <c r="Q82" s="186">
        <v>382.4194</v>
      </c>
      <c r="R82" s="183">
        <v>0.2</v>
      </c>
      <c r="S82" s="185">
        <v>-42.75</v>
      </c>
      <c r="T82" s="185">
        <v>33.733879999999999</v>
      </c>
      <c r="U82" s="185">
        <v>37.74194</v>
      </c>
      <c r="V82" s="187">
        <v>47.383879999999998</v>
      </c>
      <c r="X82" s="185">
        <v>720</v>
      </c>
      <c r="Y82" s="185">
        <v>540.94358</v>
      </c>
      <c r="Z82" s="183">
        <v>0.75131052777777774</v>
      </c>
      <c r="AA82" s="185">
        <v>107.5806</v>
      </c>
      <c r="AB82" s="185">
        <v>33.733879999999999</v>
      </c>
      <c r="AC82" s="185">
        <v>37.74194</v>
      </c>
      <c r="AD82" s="185">
        <v>720</v>
      </c>
      <c r="AE82" s="186">
        <v>14.600000000000023</v>
      </c>
      <c r="AF82" s="183">
        <v>0.29200000000000048</v>
      </c>
      <c r="AG82" s="186">
        <v>25.370859999999993</v>
      </c>
      <c r="AH82" s="183">
        <v>0.25370859999999995</v>
      </c>
    </row>
    <row r="83" spans="3:34" x14ac:dyDescent="0.25">
      <c r="C83" s="181">
        <v>730</v>
      </c>
      <c r="D83" s="183">
        <v>0.1</v>
      </c>
      <c r="E83" s="185">
        <v>110</v>
      </c>
      <c r="F83" s="181">
        <v>183</v>
      </c>
      <c r="G83" s="185">
        <v>547</v>
      </c>
      <c r="H83" s="185">
        <v>38.278799999999997</v>
      </c>
      <c r="I83" s="185">
        <v>68.075999999999993</v>
      </c>
      <c r="J83" s="185">
        <v>6.6959999999999997</v>
      </c>
      <c r="K83" s="181">
        <v>48</v>
      </c>
      <c r="P83" s="186">
        <v>161.05079999999998</v>
      </c>
      <c r="Q83" s="186">
        <v>385.94920000000002</v>
      </c>
      <c r="R83" s="183">
        <v>0.2</v>
      </c>
      <c r="S83" s="185">
        <v>-42.75</v>
      </c>
      <c r="T83" s="185">
        <v>34.439840000000004</v>
      </c>
      <c r="U83" s="185">
        <v>38.094920000000002</v>
      </c>
      <c r="V83" s="187">
        <v>48.089840000000002</v>
      </c>
      <c r="X83" s="185">
        <v>730</v>
      </c>
      <c r="Y83" s="185">
        <v>544.41444000000001</v>
      </c>
      <c r="Z83" s="183">
        <v>0.74577320547945203</v>
      </c>
      <c r="AA83" s="185">
        <v>113.05079999999998</v>
      </c>
      <c r="AB83" s="185">
        <v>34.439840000000004</v>
      </c>
      <c r="AC83" s="185">
        <v>38.094920000000002</v>
      </c>
      <c r="AD83" s="185">
        <v>730</v>
      </c>
      <c r="AE83" s="186">
        <v>10.770859999999971</v>
      </c>
      <c r="AF83" s="183">
        <v>0.21541719999999942</v>
      </c>
      <c r="AG83" s="186">
        <v>25.370859999999993</v>
      </c>
      <c r="AH83" s="183">
        <v>0.25370859999999995</v>
      </c>
    </row>
    <row r="84" spans="3:34" x14ac:dyDescent="0.25">
      <c r="C84" s="181">
        <v>740</v>
      </c>
      <c r="D84" s="183">
        <v>0.1</v>
      </c>
      <c r="E84" s="185">
        <v>110</v>
      </c>
      <c r="F84" s="181">
        <v>184</v>
      </c>
      <c r="G84" s="185">
        <v>556</v>
      </c>
      <c r="H84" s="185">
        <v>38.278799999999997</v>
      </c>
      <c r="I84" s="185">
        <v>68.075999999999993</v>
      </c>
      <c r="J84" s="185">
        <v>6.6959999999999997</v>
      </c>
      <c r="K84" s="181">
        <v>48</v>
      </c>
      <c r="P84" s="186">
        <v>161.05079999999998</v>
      </c>
      <c r="Q84" s="186">
        <v>394.94920000000002</v>
      </c>
      <c r="R84" s="183">
        <v>0.2</v>
      </c>
      <c r="S84" s="185">
        <v>-42.75</v>
      </c>
      <c r="T84" s="185">
        <v>36.239840000000015</v>
      </c>
      <c r="U84" s="185">
        <v>38.994920000000008</v>
      </c>
      <c r="V84" s="187">
        <v>49.889840000000014</v>
      </c>
      <c r="X84" s="185">
        <v>740</v>
      </c>
      <c r="Y84" s="185">
        <v>551.71443999999997</v>
      </c>
      <c r="Z84" s="183">
        <v>0.74556005405405401</v>
      </c>
      <c r="AA84" s="185">
        <v>113.05079999999998</v>
      </c>
      <c r="AB84" s="185">
        <v>36.239840000000015</v>
      </c>
      <c r="AC84" s="185">
        <v>38.994920000000008</v>
      </c>
      <c r="AD84" s="185">
        <v>740</v>
      </c>
      <c r="AE84" s="186">
        <v>10.770859999999971</v>
      </c>
      <c r="AF84" s="183">
        <v>0.21541719999999942</v>
      </c>
      <c r="AG84" s="186">
        <v>25.370859999999993</v>
      </c>
      <c r="AH84" s="183">
        <v>0.25370859999999995</v>
      </c>
    </row>
    <row r="85" spans="3:34" x14ac:dyDescent="0.25">
      <c r="C85" s="181">
        <v>750</v>
      </c>
      <c r="D85" s="183">
        <v>0.1</v>
      </c>
      <c r="E85" s="185">
        <v>110</v>
      </c>
      <c r="F85" s="181">
        <v>185</v>
      </c>
      <c r="G85" s="185">
        <v>565</v>
      </c>
      <c r="H85" s="185">
        <v>38.278799999999997</v>
      </c>
      <c r="I85" s="185">
        <v>68.075999999999993</v>
      </c>
      <c r="J85" s="185">
        <v>6.6959999999999997</v>
      </c>
      <c r="K85" s="181">
        <v>48</v>
      </c>
      <c r="P85" s="186">
        <v>161.05079999999998</v>
      </c>
      <c r="Q85" s="186">
        <v>403.94920000000002</v>
      </c>
      <c r="R85" s="183">
        <v>0.2</v>
      </c>
      <c r="S85" s="185">
        <v>-42.75</v>
      </c>
      <c r="T85" s="185">
        <v>38.039840000000012</v>
      </c>
      <c r="U85" s="185">
        <v>39.894920000000006</v>
      </c>
      <c r="V85" s="187">
        <v>51.689840000000011</v>
      </c>
      <c r="X85" s="185">
        <v>750</v>
      </c>
      <c r="Y85" s="185">
        <v>559.01443999999992</v>
      </c>
      <c r="Z85" s="183">
        <v>0.74535258666666659</v>
      </c>
      <c r="AA85" s="185">
        <v>113.05079999999998</v>
      </c>
      <c r="AB85" s="185">
        <v>38.039840000000012</v>
      </c>
      <c r="AC85" s="185">
        <v>39.894920000000006</v>
      </c>
      <c r="AD85" s="185">
        <v>750</v>
      </c>
      <c r="AE85" s="186">
        <v>14.599999999999909</v>
      </c>
      <c r="AF85" s="183">
        <v>0.29199999999999821</v>
      </c>
      <c r="AG85" s="186">
        <v>25.37085999999988</v>
      </c>
      <c r="AH85" s="183">
        <v>0.25370859999999879</v>
      </c>
    </row>
    <row r="86" spans="3:34" x14ac:dyDescent="0.25">
      <c r="C86" s="181">
        <v>760</v>
      </c>
      <c r="D86" s="183">
        <v>0.1</v>
      </c>
      <c r="E86" s="185">
        <v>110</v>
      </c>
      <c r="F86" s="181">
        <v>186</v>
      </c>
      <c r="G86" s="185">
        <v>574</v>
      </c>
      <c r="H86" s="185">
        <v>38.278799999999997</v>
      </c>
      <c r="I86" s="185">
        <v>68.075999999999993</v>
      </c>
      <c r="J86" s="185">
        <v>6.6959999999999997</v>
      </c>
      <c r="K86" s="181">
        <v>48</v>
      </c>
      <c r="P86" s="186">
        <v>161.05079999999998</v>
      </c>
      <c r="Q86" s="186">
        <v>412.94920000000002</v>
      </c>
      <c r="R86" s="183">
        <v>0.2</v>
      </c>
      <c r="S86" s="185">
        <v>-42.75</v>
      </c>
      <c r="T86" s="185">
        <v>39.839840000000009</v>
      </c>
      <c r="U86" s="185">
        <v>40.794920000000005</v>
      </c>
      <c r="V86" s="187">
        <v>53.489840000000008</v>
      </c>
      <c r="X86" s="185">
        <v>760</v>
      </c>
      <c r="Y86" s="185">
        <v>566.31443999999999</v>
      </c>
      <c r="Z86" s="183">
        <v>0.74515057894736836</v>
      </c>
      <c r="AA86" s="185">
        <v>113.05079999999998</v>
      </c>
      <c r="AB86" s="185">
        <v>39.839840000000009</v>
      </c>
      <c r="AC86" s="185">
        <v>40.794920000000005</v>
      </c>
      <c r="AD86" s="185">
        <v>760</v>
      </c>
      <c r="AE86" s="186">
        <v>14.600000000000023</v>
      </c>
      <c r="AF86" s="183">
        <v>0.29200000000000048</v>
      </c>
      <c r="AG86" s="186">
        <v>25.370859999999993</v>
      </c>
      <c r="AH86" s="183">
        <v>0.25370859999999995</v>
      </c>
    </row>
    <row r="87" spans="3:34" x14ac:dyDescent="0.25">
      <c r="C87" s="181">
        <v>770</v>
      </c>
      <c r="D87" s="183">
        <v>0.1</v>
      </c>
      <c r="E87" s="185">
        <v>110</v>
      </c>
      <c r="F87" s="181">
        <v>187</v>
      </c>
      <c r="G87" s="185">
        <v>583</v>
      </c>
      <c r="H87" s="185">
        <v>40.131</v>
      </c>
      <c r="I87" s="185">
        <v>71.37</v>
      </c>
      <c r="J87" s="185">
        <v>7.02</v>
      </c>
      <c r="K87" s="181">
        <v>48</v>
      </c>
      <c r="P87" s="186">
        <v>166.52100000000002</v>
      </c>
      <c r="Q87" s="186">
        <v>416.47899999999998</v>
      </c>
      <c r="R87" s="183">
        <v>0.2</v>
      </c>
      <c r="S87" s="185">
        <v>-42.75</v>
      </c>
      <c r="T87" s="185">
        <v>40.5458</v>
      </c>
      <c r="U87" s="185">
        <v>41.1479</v>
      </c>
      <c r="V87" s="187">
        <v>54.195799999999998</v>
      </c>
      <c r="X87" s="185">
        <v>770</v>
      </c>
      <c r="Y87" s="185">
        <v>569.78530000000001</v>
      </c>
      <c r="Z87" s="183">
        <v>0.73998090909090908</v>
      </c>
      <c r="AA87" s="185">
        <v>118.521</v>
      </c>
      <c r="AB87" s="185">
        <v>40.5458</v>
      </c>
      <c r="AC87" s="185">
        <v>41.1479</v>
      </c>
      <c r="AD87" s="185">
        <v>770</v>
      </c>
      <c r="AE87" s="186">
        <v>10.770860000000084</v>
      </c>
      <c r="AF87" s="183">
        <v>0.2154172000000017</v>
      </c>
      <c r="AG87" s="186">
        <v>25.370859999999993</v>
      </c>
      <c r="AH87" s="183">
        <v>0.25370859999999995</v>
      </c>
    </row>
    <row r="88" spans="3:34" x14ac:dyDescent="0.25">
      <c r="C88" s="181">
        <v>780</v>
      </c>
      <c r="D88" s="183">
        <v>0.1</v>
      </c>
      <c r="E88" s="185">
        <v>110</v>
      </c>
      <c r="F88" s="181">
        <v>188</v>
      </c>
      <c r="G88" s="185">
        <v>592</v>
      </c>
      <c r="H88" s="185">
        <v>40.131</v>
      </c>
      <c r="I88" s="185">
        <v>71.37</v>
      </c>
      <c r="J88" s="185">
        <v>7.02</v>
      </c>
      <c r="K88" s="181">
        <v>48</v>
      </c>
      <c r="P88" s="186">
        <v>166.52100000000002</v>
      </c>
      <c r="Q88" s="186">
        <v>425.47899999999998</v>
      </c>
      <c r="R88" s="183">
        <v>0.2</v>
      </c>
      <c r="S88" s="185">
        <v>-42.75</v>
      </c>
      <c r="T88" s="185">
        <v>42.345799999999997</v>
      </c>
      <c r="U88" s="185">
        <v>42.047899999999998</v>
      </c>
      <c r="V88" s="187">
        <v>55.995799999999996</v>
      </c>
      <c r="X88" s="185">
        <v>780</v>
      </c>
      <c r="Y88" s="185">
        <v>577.08529999999996</v>
      </c>
      <c r="Z88" s="183">
        <v>0.73985294871794871</v>
      </c>
      <c r="AA88" s="185">
        <v>118.521</v>
      </c>
      <c r="AB88" s="185">
        <v>42.345799999999997</v>
      </c>
      <c r="AC88" s="185">
        <v>42.047899999999998</v>
      </c>
      <c r="AD88" s="185">
        <v>780</v>
      </c>
      <c r="AE88" s="186">
        <v>10.770859999999971</v>
      </c>
      <c r="AF88" s="183">
        <v>0.21541719999999942</v>
      </c>
      <c r="AG88" s="186">
        <v>25.370859999999993</v>
      </c>
      <c r="AH88" s="183">
        <v>0.25370859999999995</v>
      </c>
    </row>
    <row r="89" spans="3:34" x14ac:dyDescent="0.25">
      <c r="C89" s="181">
        <v>790</v>
      </c>
      <c r="D89" s="183">
        <v>0.1</v>
      </c>
      <c r="E89" s="185">
        <v>110</v>
      </c>
      <c r="F89" s="181">
        <v>189</v>
      </c>
      <c r="G89" s="185">
        <v>601</v>
      </c>
      <c r="H89" s="185">
        <v>40.131</v>
      </c>
      <c r="I89" s="185">
        <v>71.37</v>
      </c>
      <c r="J89" s="185">
        <v>7.02</v>
      </c>
      <c r="K89" s="181">
        <v>48</v>
      </c>
      <c r="P89" s="186">
        <v>166.52100000000002</v>
      </c>
      <c r="Q89" s="186">
        <v>434.47899999999998</v>
      </c>
      <c r="R89" s="183">
        <v>0.2</v>
      </c>
      <c r="S89" s="185">
        <v>-42.75</v>
      </c>
      <c r="T89" s="185">
        <v>44.145800000000008</v>
      </c>
      <c r="U89" s="185">
        <v>42.947900000000004</v>
      </c>
      <c r="V89" s="187">
        <v>57.795800000000007</v>
      </c>
      <c r="X89" s="185">
        <v>790</v>
      </c>
      <c r="Y89" s="185">
        <v>584.38529999999992</v>
      </c>
      <c r="Z89" s="183">
        <v>0.73972822784810111</v>
      </c>
      <c r="AA89" s="185">
        <v>118.521</v>
      </c>
      <c r="AB89" s="185">
        <v>44.145800000000008</v>
      </c>
      <c r="AC89" s="185">
        <v>42.947900000000004</v>
      </c>
      <c r="AD89" s="185">
        <v>790</v>
      </c>
      <c r="AE89" s="186">
        <v>14.599999999999909</v>
      </c>
      <c r="AF89" s="183">
        <v>0.29199999999999821</v>
      </c>
      <c r="AG89" s="186">
        <v>25.370859999999993</v>
      </c>
      <c r="AH89" s="183">
        <v>0.25370859999999995</v>
      </c>
    </row>
    <row r="90" spans="3:34" x14ac:dyDescent="0.25">
      <c r="C90" s="181">
        <v>800</v>
      </c>
      <c r="D90" s="183">
        <v>0.1</v>
      </c>
      <c r="E90" s="185">
        <v>110</v>
      </c>
      <c r="F90" s="181">
        <v>190</v>
      </c>
      <c r="G90" s="185">
        <v>610</v>
      </c>
      <c r="H90" s="185">
        <v>41.983199999999997</v>
      </c>
      <c r="I90" s="185">
        <v>71.37</v>
      </c>
      <c r="J90" s="185">
        <v>7.3439999999999994</v>
      </c>
      <c r="K90" s="181">
        <v>48</v>
      </c>
      <c r="P90" s="186">
        <v>168.69720000000001</v>
      </c>
      <c r="Q90" s="186">
        <v>441.30279999999999</v>
      </c>
      <c r="R90" s="183">
        <v>0.2</v>
      </c>
      <c r="S90" s="185">
        <v>-42.75</v>
      </c>
      <c r="T90" s="185">
        <v>45.510559999999998</v>
      </c>
      <c r="U90" s="185">
        <v>43.630279999999999</v>
      </c>
      <c r="V90" s="187">
        <v>59.160559999999997</v>
      </c>
      <c r="X90" s="185">
        <v>800</v>
      </c>
      <c r="Y90" s="185">
        <v>590.16196000000002</v>
      </c>
      <c r="Z90" s="183">
        <v>0.73770245000000001</v>
      </c>
      <c r="AA90" s="185">
        <v>120.6972</v>
      </c>
      <c r="AB90" s="185">
        <v>45.510559999999998</v>
      </c>
      <c r="AC90" s="185">
        <v>43.630279999999999</v>
      </c>
      <c r="AD90" s="185">
        <v>800</v>
      </c>
      <c r="AE90" s="186">
        <v>13.076660000000061</v>
      </c>
      <c r="AF90" s="183">
        <v>0.26153320000000124</v>
      </c>
      <c r="AG90" s="186">
        <v>23.847520000000031</v>
      </c>
      <c r="AH90" s="183">
        <v>0.2384752000000003</v>
      </c>
    </row>
    <row r="91" spans="3:34" x14ac:dyDescent="0.25">
      <c r="C91" s="181">
        <v>810</v>
      </c>
      <c r="D91" s="183">
        <v>0.1</v>
      </c>
      <c r="E91" s="185">
        <v>110</v>
      </c>
      <c r="F91" s="181">
        <v>191</v>
      </c>
      <c r="G91" s="185">
        <v>619</v>
      </c>
      <c r="H91" s="185">
        <v>41.983199999999997</v>
      </c>
      <c r="I91" s="185">
        <v>71.37</v>
      </c>
      <c r="J91" s="185">
        <v>7.3439999999999994</v>
      </c>
      <c r="K91" s="181">
        <v>48</v>
      </c>
      <c r="P91" s="186">
        <v>168.69720000000001</v>
      </c>
      <c r="Q91" s="186">
        <v>450.30279999999999</v>
      </c>
      <c r="R91" s="183">
        <v>0.2</v>
      </c>
      <c r="S91" s="185">
        <v>-42.75</v>
      </c>
      <c r="T91" s="185">
        <v>47.310560000000009</v>
      </c>
      <c r="U91" s="185">
        <v>44.530280000000005</v>
      </c>
      <c r="V91" s="187">
        <v>60.960560000000008</v>
      </c>
      <c r="X91" s="185">
        <v>810</v>
      </c>
      <c r="Y91" s="185">
        <v>597.46195999999998</v>
      </c>
      <c r="Z91" s="183">
        <v>0.73760735802469135</v>
      </c>
      <c r="AA91" s="185">
        <v>120.6972</v>
      </c>
      <c r="AB91" s="185">
        <v>47.310560000000009</v>
      </c>
      <c r="AC91" s="185">
        <v>44.530280000000005</v>
      </c>
      <c r="AD91" s="185">
        <v>810</v>
      </c>
      <c r="AE91" s="186">
        <v>13.076660000000061</v>
      </c>
      <c r="AF91" s="183">
        <v>0.26153320000000124</v>
      </c>
      <c r="AG91" s="186">
        <v>27.67665999999997</v>
      </c>
      <c r="AH91" s="183">
        <v>0.2767665999999997</v>
      </c>
    </row>
    <row r="92" spans="3:34" x14ac:dyDescent="0.25">
      <c r="C92" s="181">
        <v>820</v>
      </c>
      <c r="D92" s="183">
        <v>0.1</v>
      </c>
      <c r="E92" s="185">
        <v>110</v>
      </c>
      <c r="F92" s="181">
        <v>192</v>
      </c>
      <c r="G92" s="185">
        <v>628</v>
      </c>
      <c r="H92" s="185">
        <v>41.983199999999997</v>
      </c>
      <c r="I92" s="185">
        <v>71.37</v>
      </c>
      <c r="J92" s="185">
        <v>7.3439999999999994</v>
      </c>
      <c r="K92" s="181">
        <v>48</v>
      </c>
      <c r="P92" s="186">
        <v>168.69720000000001</v>
      </c>
      <c r="Q92" s="186">
        <v>459.30279999999999</v>
      </c>
      <c r="R92" s="183">
        <v>0.2</v>
      </c>
      <c r="S92" s="185">
        <v>-42.75</v>
      </c>
      <c r="T92" s="185">
        <v>49.110560000000007</v>
      </c>
      <c r="U92" s="185">
        <v>45.430280000000003</v>
      </c>
      <c r="V92" s="187">
        <v>62.760560000000005</v>
      </c>
      <c r="X92" s="185">
        <v>820</v>
      </c>
      <c r="Y92" s="185">
        <v>604.76196000000004</v>
      </c>
      <c r="Z92" s="183">
        <v>0.73751458536585368</v>
      </c>
      <c r="AA92" s="185">
        <v>120.6972</v>
      </c>
      <c r="AB92" s="185">
        <v>49.110560000000007</v>
      </c>
      <c r="AC92" s="185">
        <v>45.430280000000003</v>
      </c>
      <c r="AD92" s="185">
        <v>820</v>
      </c>
      <c r="AE92" s="186">
        <v>14.600000000000023</v>
      </c>
      <c r="AF92" s="183">
        <v>0.29200000000000048</v>
      </c>
      <c r="AG92" s="186">
        <v>27.676660000000084</v>
      </c>
      <c r="AH92" s="183">
        <v>0.27676660000000086</v>
      </c>
    </row>
    <row r="93" spans="3:34" x14ac:dyDescent="0.25">
      <c r="C93" s="181">
        <v>830</v>
      </c>
      <c r="D93" s="183">
        <v>0.1</v>
      </c>
      <c r="E93" s="185">
        <v>110</v>
      </c>
      <c r="F93" s="181">
        <v>193</v>
      </c>
      <c r="G93" s="185">
        <v>637</v>
      </c>
      <c r="H93" s="185">
        <v>41.983199999999997</v>
      </c>
      <c r="I93" s="185">
        <v>71.37</v>
      </c>
      <c r="J93" s="185">
        <v>7.3439999999999994</v>
      </c>
      <c r="K93" s="181">
        <v>48</v>
      </c>
      <c r="P93" s="186">
        <v>168.69720000000001</v>
      </c>
      <c r="Q93" s="186">
        <v>468.30279999999999</v>
      </c>
      <c r="R93" s="183">
        <v>0.2</v>
      </c>
      <c r="S93" s="185">
        <v>-42.75</v>
      </c>
      <c r="T93" s="185">
        <v>50.910560000000004</v>
      </c>
      <c r="U93" s="185">
        <v>46.330280000000002</v>
      </c>
      <c r="V93" s="187">
        <v>64.560560000000009</v>
      </c>
      <c r="X93" s="185">
        <v>830</v>
      </c>
      <c r="Y93" s="185">
        <v>612.06196</v>
      </c>
      <c r="Z93" s="183">
        <v>0.73742404819277108</v>
      </c>
      <c r="AA93" s="185">
        <v>120.6972</v>
      </c>
      <c r="AB93" s="185">
        <v>50.910560000000004</v>
      </c>
      <c r="AC93" s="185">
        <v>46.330280000000002</v>
      </c>
      <c r="AD93" s="185">
        <v>830</v>
      </c>
      <c r="AE93" s="186">
        <v>14.600000000000023</v>
      </c>
      <c r="AF93" s="183">
        <v>0.29200000000000048</v>
      </c>
      <c r="AG93" s="186">
        <v>27.676660000000084</v>
      </c>
      <c r="AH93" s="183">
        <v>0.27676660000000086</v>
      </c>
    </row>
    <row r="94" spans="3:34" x14ac:dyDescent="0.25">
      <c r="C94" s="181">
        <v>840</v>
      </c>
      <c r="D94" s="183">
        <v>0.1</v>
      </c>
      <c r="E94" s="185">
        <v>110</v>
      </c>
      <c r="F94" s="181">
        <v>194</v>
      </c>
      <c r="G94" s="185">
        <v>646</v>
      </c>
      <c r="H94" s="185">
        <v>43.835399999999993</v>
      </c>
      <c r="I94" s="185">
        <v>71.37</v>
      </c>
      <c r="J94" s="185">
        <v>7.6679999999999993</v>
      </c>
      <c r="K94" s="181">
        <v>48</v>
      </c>
      <c r="P94" s="186">
        <v>170.8734</v>
      </c>
      <c r="Q94" s="186">
        <v>475.1266</v>
      </c>
      <c r="R94" s="183">
        <v>0.2</v>
      </c>
      <c r="S94" s="185">
        <v>-42.75</v>
      </c>
      <c r="T94" s="185">
        <v>52.275320000000008</v>
      </c>
      <c r="U94" s="185">
        <v>47.012660000000004</v>
      </c>
      <c r="V94" s="187">
        <v>65.925320000000013</v>
      </c>
      <c r="X94" s="185">
        <v>840</v>
      </c>
      <c r="Y94" s="185">
        <v>617.83861999999999</v>
      </c>
      <c r="Z94" s="183">
        <v>0.7355221666666667</v>
      </c>
      <c r="AA94" s="185">
        <v>122.8734</v>
      </c>
      <c r="AB94" s="185">
        <v>52.275320000000008</v>
      </c>
      <c r="AC94" s="185">
        <v>47.012660000000004</v>
      </c>
      <c r="AD94" s="185">
        <v>840</v>
      </c>
      <c r="AE94" s="186">
        <v>13.076659999999947</v>
      </c>
      <c r="AF94" s="183">
        <v>0.26153319999999897</v>
      </c>
      <c r="AG94" s="186">
        <v>27.67665999999997</v>
      </c>
      <c r="AH94" s="183">
        <v>0.2767665999999997</v>
      </c>
    </row>
    <row r="95" spans="3:34" x14ac:dyDescent="0.25">
      <c r="C95" s="181">
        <v>850</v>
      </c>
      <c r="D95" s="183">
        <v>0</v>
      </c>
      <c r="E95" s="185">
        <v>195</v>
      </c>
      <c r="F95" s="181">
        <v>195</v>
      </c>
      <c r="G95" s="185">
        <v>655</v>
      </c>
      <c r="H95" s="185">
        <v>43.835399999999993</v>
      </c>
      <c r="I95" s="185">
        <v>71.37</v>
      </c>
      <c r="J95" s="185">
        <v>7.6679999999999993</v>
      </c>
      <c r="K95" s="181">
        <v>48</v>
      </c>
      <c r="P95" s="186">
        <v>170.8734</v>
      </c>
      <c r="Q95" s="186">
        <v>484.1266</v>
      </c>
      <c r="R95" s="183">
        <v>0.2</v>
      </c>
      <c r="S95" s="185">
        <v>-42.75</v>
      </c>
      <c r="T95" s="185">
        <v>54.075320000000005</v>
      </c>
      <c r="U95" s="185">
        <v>47.912660000000002</v>
      </c>
      <c r="V95" s="187">
        <v>67.725320000000011</v>
      </c>
      <c r="X95" s="185">
        <v>850</v>
      </c>
      <c r="Y95" s="185">
        <v>625.13861999999995</v>
      </c>
      <c r="Z95" s="183">
        <v>0.73545719999999992</v>
      </c>
      <c r="AA95" s="185">
        <v>122.8734</v>
      </c>
      <c r="AB95" s="185">
        <v>54.075320000000005</v>
      </c>
      <c r="AC95" s="185">
        <v>47.912660000000002</v>
      </c>
      <c r="AD95" s="185">
        <v>850</v>
      </c>
      <c r="AE95" s="186">
        <v>13.076659999999947</v>
      </c>
      <c r="AF95" s="183">
        <v>0.26153319999999897</v>
      </c>
      <c r="AG95" s="186">
        <v>27.67665999999997</v>
      </c>
      <c r="AH95" s="183">
        <v>0.2767665999999997</v>
      </c>
    </row>
    <row r="96" spans="3:34" x14ac:dyDescent="0.25">
      <c r="C96" s="181">
        <v>860</v>
      </c>
      <c r="D96" s="183">
        <v>0</v>
      </c>
      <c r="E96" s="185">
        <v>195</v>
      </c>
      <c r="F96" s="181">
        <v>195</v>
      </c>
      <c r="G96" s="185">
        <v>665</v>
      </c>
      <c r="H96" s="185">
        <v>43.835399999999993</v>
      </c>
      <c r="I96" s="185">
        <v>71.37</v>
      </c>
      <c r="J96" s="185">
        <v>7.6679999999999993</v>
      </c>
      <c r="K96" s="181">
        <v>48</v>
      </c>
      <c r="P96" s="186">
        <v>170.8734</v>
      </c>
      <c r="Q96" s="186">
        <v>494.1266</v>
      </c>
      <c r="R96" s="183">
        <v>0.2</v>
      </c>
      <c r="S96" s="185">
        <v>-42.75</v>
      </c>
      <c r="T96" s="185">
        <v>56.075320000000005</v>
      </c>
      <c r="U96" s="185">
        <v>48.912660000000002</v>
      </c>
      <c r="V96" s="187">
        <v>69.725320000000011</v>
      </c>
      <c r="X96" s="185">
        <v>860</v>
      </c>
      <c r="Y96" s="185">
        <v>632.13861999999995</v>
      </c>
      <c r="Z96" s="183">
        <v>0.73504490697674407</v>
      </c>
      <c r="AA96" s="185">
        <v>122.8734</v>
      </c>
      <c r="AB96" s="185">
        <v>56.075320000000005</v>
      </c>
      <c r="AC96" s="185">
        <v>48.912660000000002</v>
      </c>
      <c r="AD96" s="185">
        <v>860</v>
      </c>
      <c r="AE96" s="186">
        <v>14.299999999999955</v>
      </c>
      <c r="AF96" s="183">
        <v>0.28599999999999909</v>
      </c>
      <c r="AG96" s="186">
        <v>27.376659999999902</v>
      </c>
      <c r="AH96" s="183">
        <v>0.27376659999999903</v>
      </c>
    </row>
    <row r="97" spans="3:34" x14ac:dyDescent="0.25">
      <c r="C97" s="181">
        <v>870</v>
      </c>
      <c r="D97" s="183">
        <v>0</v>
      </c>
      <c r="E97" s="185">
        <v>195</v>
      </c>
      <c r="F97" s="181">
        <v>195</v>
      </c>
      <c r="G97" s="185">
        <v>675</v>
      </c>
      <c r="H97" s="185">
        <v>43.835399999999993</v>
      </c>
      <c r="I97" s="185">
        <v>71.37</v>
      </c>
      <c r="J97" s="185">
        <v>7.6679999999999993</v>
      </c>
      <c r="K97" s="181">
        <v>48</v>
      </c>
      <c r="P97" s="186">
        <v>170.8734</v>
      </c>
      <c r="Q97" s="186">
        <v>504.1266</v>
      </c>
      <c r="R97" s="183">
        <v>0.2</v>
      </c>
      <c r="S97" s="185">
        <v>-42.75</v>
      </c>
      <c r="T97" s="185">
        <v>58.075320000000005</v>
      </c>
      <c r="U97" s="185">
        <v>49.912660000000002</v>
      </c>
      <c r="V97" s="187">
        <v>71.725320000000011</v>
      </c>
      <c r="X97" s="185">
        <v>870</v>
      </c>
      <c r="Y97" s="185">
        <v>639.13861999999995</v>
      </c>
      <c r="Z97" s="183">
        <v>0.73464209195402297</v>
      </c>
      <c r="AA97" s="185">
        <v>122.8734</v>
      </c>
      <c r="AB97" s="185">
        <v>58.075320000000005</v>
      </c>
      <c r="AC97" s="185">
        <v>49.912660000000002</v>
      </c>
      <c r="AD97" s="185">
        <v>870</v>
      </c>
      <c r="AE97" s="186">
        <v>14</v>
      </c>
      <c r="AF97" s="183">
        <v>0.28000000000000003</v>
      </c>
      <c r="AG97" s="186">
        <v>27.076659999999947</v>
      </c>
      <c r="AH97" s="183">
        <v>0.27076659999999947</v>
      </c>
    </row>
    <row r="98" spans="3:34" x14ac:dyDescent="0.25">
      <c r="C98" s="181">
        <v>880</v>
      </c>
      <c r="D98" s="183">
        <v>0</v>
      </c>
      <c r="E98" s="185">
        <v>195</v>
      </c>
      <c r="F98" s="181">
        <v>195</v>
      </c>
      <c r="G98" s="185">
        <v>685</v>
      </c>
      <c r="H98" s="185">
        <v>46.304999999999993</v>
      </c>
      <c r="I98" s="185">
        <v>71.37</v>
      </c>
      <c r="J98" s="185">
        <v>8.1</v>
      </c>
      <c r="K98" s="181">
        <v>48</v>
      </c>
      <c r="P98" s="186">
        <v>173.77499999999998</v>
      </c>
      <c r="Q98" s="186">
        <v>511.22500000000002</v>
      </c>
      <c r="R98" s="183">
        <v>0.2</v>
      </c>
      <c r="S98" s="185">
        <v>-42.75</v>
      </c>
      <c r="T98" s="185">
        <v>59.495000000000005</v>
      </c>
      <c r="U98" s="185">
        <v>50.622500000000002</v>
      </c>
      <c r="V98" s="187">
        <v>73.14500000000001</v>
      </c>
      <c r="X98" s="185">
        <v>880</v>
      </c>
      <c r="Y98" s="185">
        <v>644.10750000000007</v>
      </c>
      <c r="Z98" s="183">
        <v>0.73194034090909099</v>
      </c>
      <c r="AA98" s="185">
        <v>125.77499999999999</v>
      </c>
      <c r="AB98" s="185">
        <v>59.495000000000005</v>
      </c>
      <c r="AC98" s="185">
        <v>50.622500000000002</v>
      </c>
      <c r="AD98" s="185">
        <v>880</v>
      </c>
      <c r="AE98" s="186">
        <v>11.968880000000127</v>
      </c>
      <c r="AF98" s="183">
        <v>0.23937760000000252</v>
      </c>
      <c r="AG98" s="186">
        <v>26.268880000000081</v>
      </c>
      <c r="AH98" s="183">
        <v>0.26268880000000083</v>
      </c>
    </row>
    <row r="99" spans="3:34" x14ac:dyDescent="0.25">
      <c r="C99" s="181">
        <v>890</v>
      </c>
      <c r="D99" s="183">
        <v>0</v>
      </c>
      <c r="E99" s="185">
        <v>195</v>
      </c>
      <c r="F99" s="181">
        <v>195</v>
      </c>
      <c r="G99" s="185">
        <v>695</v>
      </c>
      <c r="H99" s="185">
        <v>46.304999999999993</v>
      </c>
      <c r="I99" s="185">
        <v>71.37</v>
      </c>
      <c r="J99" s="185">
        <v>8.1</v>
      </c>
      <c r="K99" s="181">
        <v>48</v>
      </c>
      <c r="P99" s="186">
        <v>173.77499999999998</v>
      </c>
      <c r="Q99" s="186">
        <v>521.22500000000002</v>
      </c>
      <c r="R99" s="183">
        <v>0.2</v>
      </c>
      <c r="S99" s="185">
        <v>-42.75</v>
      </c>
      <c r="T99" s="185">
        <v>61.495000000000005</v>
      </c>
      <c r="U99" s="185">
        <v>51.622500000000002</v>
      </c>
      <c r="V99" s="187">
        <v>75.14500000000001</v>
      </c>
      <c r="X99" s="185">
        <v>890</v>
      </c>
      <c r="Y99" s="185">
        <v>651.10750000000007</v>
      </c>
      <c r="Z99" s="183">
        <v>0.73158146067415741</v>
      </c>
      <c r="AA99" s="185">
        <v>125.77499999999999</v>
      </c>
      <c r="AB99" s="185">
        <v>61.495000000000005</v>
      </c>
      <c r="AC99" s="185">
        <v>51.622500000000002</v>
      </c>
      <c r="AD99" s="185">
        <v>890</v>
      </c>
      <c r="AE99" s="186">
        <v>11.968880000000127</v>
      </c>
      <c r="AF99" s="183">
        <v>0.23937760000000252</v>
      </c>
      <c r="AG99" s="186">
        <v>25.968880000000127</v>
      </c>
      <c r="AH99" s="183">
        <v>0.25968880000000127</v>
      </c>
    </row>
    <row r="100" spans="3:34" x14ac:dyDescent="0.25">
      <c r="C100" s="181">
        <v>900</v>
      </c>
      <c r="D100" s="183">
        <v>0</v>
      </c>
      <c r="E100" s="185">
        <v>195</v>
      </c>
      <c r="F100" s="181">
        <v>195</v>
      </c>
      <c r="G100" s="185">
        <v>705</v>
      </c>
      <c r="H100" s="185">
        <v>46.304999999999993</v>
      </c>
      <c r="I100" s="185">
        <v>71.37</v>
      </c>
      <c r="J100" s="185">
        <v>8.1</v>
      </c>
      <c r="K100" s="181">
        <v>48</v>
      </c>
      <c r="P100" s="186">
        <v>173.77499999999998</v>
      </c>
      <c r="Q100" s="186">
        <v>531.22500000000002</v>
      </c>
      <c r="R100" s="183">
        <v>0.2</v>
      </c>
      <c r="S100" s="185">
        <v>-42.75</v>
      </c>
      <c r="T100" s="185">
        <v>63.495000000000005</v>
      </c>
      <c r="U100" s="185">
        <v>52.622500000000002</v>
      </c>
      <c r="V100" s="187">
        <v>77.14500000000001</v>
      </c>
      <c r="X100" s="185">
        <v>900</v>
      </c>
      <c r="Y100" s="185">
        <v>658.10750000000007</v>
      </c>
      <c r="Z100" s="183">
        <v>0.73123055555555561</v>
      </c>
      <c r="AA100" s="185">
        <v>125.77499999999999</v>
      </c>
      <c r="AB100" s="185">
        <v>63.495000000000005</v>
      </c>
      <c r="AC100" s="185">
        <v>52.622500000000002</v>
      </c>
      <c r="AD100" s="185">
        <v>900</v>
      </c>
      <c r="AE100" s="186">
        <v>14</v>
      </c>
      <c r="AF100" s="183">
        <v>0.28000000000000003</v>
      </c>
      <c r="AG100" s="186">
        <v>25.968880000000127</v>
      </c>
      <c r="AH100" s="183">
        <v>0.25968880000000127</v>
      </c>
    </row>
    <row r="101" spans="3:34" x14ac:dyDescent="0.25">
      <c r="C101" s="181">
        <v>910</v>
      </c>
      <c r="D101" s="183">
        <v>0</v>
      </c>
      <c r="E101" s="185">
        <v>195</v>
      </c>
      <c r="F101" s="181">
        <v>195</v>
      </c>
      <c r="G101" s="185">
        <v>715</v>
      </c>
      <c r="H101" s="185">
        <v>46.304999999999993</v>
      </c>
      <c r="I101" s="185">
        <v>71.37</v>
      </c>
      <c r="J101" s="185">
        <v>8.1</v>
      </c>
      <c r="K101" s="181">
        <v>48</v>
      </c>
      <c r="P101" s="186">
        <v>173.77499999999998</v>
      </c>
      <c r="Q101" s="186">
        <v>541.22500000000002</v>
      </c>
      <c r="R101" s="183">
        <v>0.2</v>
      </c>
      <c r="S101" s="185">
        <v>-42.75</v>
      </c>
      <c r="T101" s="185">
        <v>65.495000000000005</v>
      </c>
      <c r="U101" s="185">
        <v>53.622500000000002</v>
      </c>
      <c r="V101" s="187">
        <v>79.14500000000001</v>
      </c>
      <c r="X101" s="185">
        <v>910</v>
      </c>
      <c r="Y101" s="185">
        <v>665.10750000000007</v>
      </c>
      <c r="Z101" s="183">
        <v>0.73088736263736276</v>
      </c>
      <c r="AA101" s="185">
        <v>125.77499999999999</v>
      </c>
      <c r="AB101" s="185">
        <v>65.495000000000005</v>
      </c>
      <c r="AC101" s="185">
        <v>53.622500000000002</v>
      </c>
      <c r="AD101" s="185">
        <v>910</v>
      </c>
      <c r="AE101" s="186">
        <v>14</v>
      </c>
      <c r="AF101" s="183">
        <v>0.28000000000000003</v>
      </c>
      <c r="AG101" s="186">
        <v>25.968880000000127</v>
      </c>
      <c r="AH101" s="183">
        <v>0.25968880000000127</v>
      </c>
    </row>
    <row r="102" spans="3:34" x14ac:dyDescent="0.25">
      <c r="C102" s="181">
        <v>920</v>
      </c>
      <c r="D102" s="183">
        <v>0</v>
      </c>
      <c r="E102" s="185">
        <v>195</v>
      </c>
      <c r="F102" s="181">
        <v>195</v>
      </c>
      <c r="G102" s="185">
        <v>725</v>
      </c>
      <c r="H102" s="185">
        <v>46.304999999999993</v>
      </c>
      <c r="I102" s="185">
        <v>71.37</v>
      </c>
      <c r="J102" s="185">
        <v>8.1</v>
      </c>
      <c r="K102" s="181">
        <v>48</v>
      </c>
      <c r="P102" s="186">
        <v>173.77499999999998</v>
      </c>
      <c r="Q102" s="186">
        <v>551.22500000000002</v>
      </c>
      <c r="R102" s="183">
        <v>0.2</v>
      </c>
      <c r="S102" s="185">
        <v>-42.75</v>
      </c>
      <c r="T102" s="185">
        <v>67.495000000000005</v>
      </c>
      <c r="U102" s="185">
        <v>54.622500000000002</v>
      </c>
      <c r="V102" s="187">
        <v>81.14500000000001</v>
      </c>
      <c r="X102" s="185">
        <v>920</v>
      </c>
      <c r="Y102" s="185">
        <v>672.10750000000007</v>
      </c>
      <c r="Z102" s="183">
        <v>0.73055163043478266</v>
      </c>
      <c r="AA102" s="185">
        <v>125.77499999999999</v>
      </c>
      <c r="AB102" s="185">
        <v>67.495000000000005</v>
      </c>
      <c r="AC102" s="185">
        <v>54.622500000000002</v>
      </c>
      <c r="AD102" s="185">
        <v>920</v>
      </c>
      <c r="AE102" s="186">
        <v>14</v>
      </c>
      <c r="AF102" s="183">
        <v>0.28000000000000003</v>
      </c>
      <c r="AG102" s="186">
        <v>28</v>
      </c>
      <c r="AH102" s="183">
        <v>0.28000000000000003</v>
      </c>
    </row>
    <row r="103" spans="3:34" x14ac:dyDescent="0.25">
      <c r="C103" s="181">
        <v>930</v>
      </c>
      <c r="D103" s="183">
        <v>0</v>
      </c>
      <c r="E103" s="185">
        <v>195</v>
      </c>
      <c r="F103" s="181">
        <v>195</v>
      </c>
      <c r="G103" s="185">
        <v>735</v>
      </c>
      <c r="H103" s="185">
        <v>48.774599999999992</v>
      </c>
      <c r="I103" s="185">
        <v>71.37</v>
      </c>
      <c r="J103" s="185">
        <v>8.532</v>
      </c>
      <c r="K103" s="181">
        <v>48</v>
      </c>
      <c r="P103" s="186">
        <v>176.67660000000001</v>
      </c>
      <c r="Q103" s="186">
        <v>558.32339999999999</v>
      </c>
      <c r="R103" s="183">
        <v>0.2</v>
      </c>
      <c r="S103" s="185">
        <v>-42.75</v>
      </c>
      <c r="T103" s="185">
        <v>68.914680000000004</v>
      </c>
      <c r="U103" s="185">
        <v>55.332340000000002</v>
      </c>
      <c r="V103" s="187">
        <v>82.56468000000001</v>
      </c>
      <c r="X103" s="185">
        <v>930</v>
      </c>
      <c r="Y103" s="185">
        <v>677.07637999999997</v>
      </c>
      <c r="Z103" s="183">
        <v>0.72803911827956991</v>
      </c>
      <c r="AA103" s="185">
        <v>128.67660000000001</v>
      </c>
      <c r="AB103" s="185">
        <v>68.914680000000004</v>
      </c>
      <c r="AC103" s="185">
        <v>55.332340000000002</v>
      </c>
      <c r="AD103" s="185">
        <v>930</v>
      </c>
      <c r="AE103" s="186">
        <v>11.968879999999899</v>
      </c>
      <c r="AF103" s="183">
        <v>0.23937759999999797</v>
      </c>
      <c r="AG103" s="186">
        <v>25.968879999999899</v>
      </c>
      <c r="AH103" s="183">
        <v>0.259688799999999</v>
      </c>
    </row>
    <row r="104" spans="3:34" x14ac:dyDescent="0.25">
      <c r="C104" s="181">
        <v>940</v>
      </c>
      <c r="D104" s="183">
        <v>0</v>
      </c>
      <c r="E104" s="185">
        <v>195</v>
      </c>
      <c r="F104" s="181">
        <v>195</v>
      </c>
      <c r="G104" s="185">
        <v>745</v>
      </c>
      <c r="H104" s="185">
        <v>48.774599999999992</v>
      </c>
      <c r="I104" s="185">
        <v>71.37</v>
      </c>
      <c r="J104" s="185">
        <v>8.532</v>
      </c>
      <c r="K104" s="181">
        <v>48</v>
      </c>
      <c r="P104" s="186">
        <v>176.67660000000001</v>
      </c>
      <c r="Q104" s="186">
        <v>568.32339999999999</v>
      </c>
      <c r="R104" s="183">
        <v>0.2</v>
      </c>
      <c r="S104" s="185">
        <v>-42.75</v>
      </c>
      <c r="T104" s="185">
        <v>70.914680000000004</v>
      </c>
      <c r="U104" s="185">
        <v>56.332340000000002</v>
      </c>
      <c r="V104" s="187">
        <v>84.56468000000001</v>
      </c>
      <c r="X104" s="185">
        <v>940</v>
      </c>
      <c r="Y104" s="185">
        <v>684.07637999999997</v>
      </c>
      <c r="Z104" s="183">
        <v>0.72774082978723398</v>
      </c>
      <c r="AA104" s="185">
        <v>128.67660000000001</v>
      </c>
      <c r="AB104" s="185">
        <v>70.914680000000004</v>
      </c>
      <c r="AC104" s="185">
        <v>56.332340000000002</v>
      </c>
      <c r="AD104" s="185">
        <v>940</v>
      </c>
      <c r="AE104" s="186">
        <v>11.968879999999899</v>
      </c>
      <c r="AF104" s="183">
        <v>0.23937759999999797</v>
      </c>
      <c r="AG104" s="186">
        <v>25.968879999999899</v>
      </c>
      <c r="AH104" s="183">
        <v>0.259688799999999</v>
      </c>
    </row>
    <row r="105" spans="3:34" x14ac:dyDescent="0.25">
      <c r="C105" s="181">
        <v>950</v>
      </c>
      <c r="D105" s="183">
        <v>0</v>
      </c>
      <c r="E105" s="185">
        <v>195</v>
      </c>
      <c r="F105" s="181">
        <v>195</v>
      </c>
      <c r="G105" s="185">
        <v>755</v>
      </c>
      <c r="H105" s="185">
        <v>48.774599999999992</v>
      </c>
      <c r="I105" s="185">
        <v>71.37</v>
      </c>
      <c r="J105" s="185">
        <v>8.532</v>
      </c>
      <c r="K105" s="181">
        <v>48</v>
      </c>
      <c r="P105" s="186">
        <v>176.67660000000001</v>
      </c>
      <c r="Q105" s="186">
        <v>578.32339999999999</v>
      </c>
      <c r="R105" s="183">
        <v>0.2</v>
      </c>
      <c r="S105" s="185">
        <v>-42.75</v>
      </c>
      <c r="T105" s="185">
        <v>72.914680000000004</v>
      </c>
      <c r="U105" s="185">
        <v>57.332340000000002</v>
      </c>
      <c r="V105" s="187">
        <v>86.56468000000001</v>
      </c>
      <c r="X105" s="185">
        <v>950</v>
      </c>
      <c r="Y105" s="185">
        <v>691.07637999999997</v>
      </c>
      <c r="Z105" s="183">
        <v>0.72744882105263153</v>
      </c>
      <c r="AA105" s="185">
        <v>128.67660000000001</v>
      </c>
      <c r="AB105" s="185">
        <v>72.914680000000004</v>
      </c>
      <c r="AC105" s="185">
        <v>57.332340000000002</v>
      </c>
      <c r="AD105" s="185">
        <v>950</v>
      </c>
      <c r="AE105" s="186">
        <v>14</v>
      </c>
      <c r="AF105" s="183">
        <v>0.28000000000000003</v>
      </c>
      <c r="AG105" s="186">
        <v>25.968879999999899</v>
      </c>
      <c r="AH105" s="183">
        <v>0.259688799999999</v>
      </c>
    </row>
    <row r="106" spans="3:34" x14ac:dyDescent="0.25">
      <c r="C106" s="181">
        <v>960</v>
      </c>
      <c r="D106" s="183">
        <v>0</v>
      </c>
      <c r="E106" s="185">
        <v>195</v>
      </c>
      <c r="F106" s="181">
        <v>195</v>
      </c>
      <c r="G106" s="185">
        <v>765</v>
      </c>
      <c r="H106" s="185">
        <v>48.774599999999992</v>
      </c>
      <c r="I106" s="185">
        <v>71.37</v>
      </c>
      <c r="J106" s="185">
        <v>8.532</v>
      </c>
      <c r="K106" s="181">
        <v>48</v>
      </c>
      <c r="P106" s="186">
        <v>176.67660000000001</v>
      </c>
      <c r="Q106" s="186">
        <v>588.32339999999999</v>
      </c>
      <c r="R106" s="183">
        <v>0.2</v>
      </c>
      <c r="S106" s="185">
        <v>-42.75</v>
      </c>
      <c r="T106" s="185">
        <v>74.914680000000004</v>
      </c>
      <c r="U106" s="185">
        <v>58.332340000000002</v>
      </c>
      <c r="V106" s="187">
        <v>88.56468000000001</v>
      </c>
      <c r="X106" s="185">
        <v>960</v>
      </c>
      <c r="Y106" s="185">
        <v>698.07637999999997</v>
      </c>
      <c r="Z106" s="183">
        <v>0.72716289583333327</v>
      </c>
      <c r="AA106" s="185">
        <v>128.67660000000001</v>
      </c>
      <c r="AB106" s="185">
        <v>74.914680000000004</v>
      </c>
      <c r="AC106" s="185">
        <v>58.332340000000002</v>
      </c>
      <c r="AD106" s="185">
        <v>960</v>
      </c>
      <c r="AE106" s="186">
        <v>14</v>
      </c>
      <c r="AF106" s="183">
        <v>0.28000000000000003</v>
      </c>
      <c r="AG106" s="186">
        <v>25.968879999999899</v>
      </c>
      <c r="AH106" s="183">
        <v>0.259688799999999</v>
      </c>
    </row>
    <row r="107" spans="3:34" x14ac:dyDescent="0.25">
      <c r="C107" s="181">
        <v>970</v>
      </c>
      <c r="D107" s="183">
        <v>0</v>
      </c>
      <c r="E107" s="185">
        <v>195</v>
      </c>
      <c r="F107" s="181">
        <v>195</v>
      </c>
      <c r="G107" s="185">
        <v>775</v>
      </c>
      <c r="H107" s="185">
        <v>48.774599999999992</v>
      </c>
      <c r="I107" s="185">
        <v>71.37</v>
      </c>
      <c r="J107" s="185">
        <v>8.532</v>
      </c>
      <c r="K107" s="181">
        <v>48</v>
      </c>
      <c r="P107" s="186">
        <v>176.67660000000001</v>
      </c>
      <c r="Q107" s="186">
        <v>598.32339999999999</v>
      </c>
      <c r="R107" s="183">
        <v>0.2</v>
      </c>
      <c r="S107" s="185">
        <v>-42.75</v>
      </c>
      <c r="T107" s="185">
        <v>76.914680000000004</v>
      </c>
      <c r="U107" s="185">
        <v>59.332340000000002</v>
      </c>
      <c r="V107" s="187">
        <v>90.56468000000001</v>
      </c>
      <c r="X107" s="185">
        <v>970</v>
      </c>
      <c r="Y107" s="185">
        <v>705.07637999999997</v>
      </c>
      <c r="Z107" s="183">
        <v>0.72688286597938145</v>
      </c>
      <c r="AA107" s="185">
        <v>128.67660000000001</v>
      </c>
      <c r="AB107" s="185">
        <v>76.914680000000004</v>
      </c>
      <c r="AC107" s="185">
        <v>59.332340000000002</v>
      </c>
      <c r="AD107" s="185">
        <v>970</v>
      </c>
      <c r="AE107" s="186">
        <v>14</v>
      </c>
      <c r="AF107" s="183">
        <v>0.28000000000000003</v>
      </c>
      <c r="AG107" s="186">
        <v>28</v>
      </c>
      <c r="AH107" s="183">
        <v>0.28000000000000003</v>
      </c>
    </row>
    <row r="108" spans="3:34" x14ac:dyDescent="0.25">
      <c r="C108" s="181">
        <v>980</v>
      </c>
      <c r="D108" s="183">
        <v>0</v>
      </c>
      <c r="E108" s="185">
        <v>195</v>
      </c>
      <c r="F108" s="181">
        <v>195</v>
      </c>
      <c r="G108" s="185">
        <v>785</v>
      </c>
      <c r="H108" s="185">
        <v>51.244199999999992</v>
      </c>
      <c r="I108" s="185">
        <v>71.37</v>
      </c>
      <c r="J108" s="185">
        <v>8.9640000000000004</v>
      </c>
      <c r="K108" s="181">
        <v>48</v>
      </c>
      <c r="P108" s="186">
        <v>179.57820000000001</v>
      </c>
      <c r="Q108" s="186">
        <v>605.42179999999996</v>
      </c>
      <c r="R108" s="183">
        <v>0.2</v>
      </c>
      <c r="S108" s="185">
        <v>-42.75</v>
      </c>
      <c r="T108" s="185">
        <v>78.334360000000004</v>
      </c>
      <c r="U108" s="185">
        <v>60.042180000000002</v>
      </c>
      <c r="V108" s="187">
        <v>91.984360000000009</v>
      </c>
      <c r="X108" s="185">
        <v>980</v>
      </c>
      <c r="Y108" s="185">
        <v>710.04525999999998</v>
      </c>
      <c r="Z108" s="183">
        <v>0.72453597959183669</v>
      </c>
      <c r="AA108" s="185">
        <v>131.57820000000001</v>
      </c>
      <c r="AB108" s="185">
        <v>78.334360000000004</v>
      </c>
      <c r="AC108" s="185">
        <v>60.042180000000002</v>
      </c>
      <c r="AD108" s="185">
        <v>980</v>
      </c>
      <c r="AE108" s="186">
        <v>11.968880000000013</v>
      </c>
      <c r="AF108" s="183">
        <v>0.23937760000000025</v>
      </c>
      <c r="AG108" s="186">
        <v>25.968880000000013</v>
      </c>
      <c r="AH108" s="183">
        <v>0.25968880000000011</v>
      </c>
    </row>
    <row r="109" spans="3:34" x14ac:dyDescent="0.25">
      <c r="C109" s="181">
        <v>990</v>
      </c>
      <c r="D109" s="183">
        <v>0</v>
      </c>
      <c r="E109" s="185">
        <v>195</v>
      </c>
      <c r="F109" s="181">
        <v>195</v>
      </c>
      <c r="G109" s="185">
        <v>795</v>
      </c>
      <c r="H109" s="185">
        <v>51.244199999999992</v>
      </c>
      <c r="I109" s="185">
        <v>71.37</v>
      </c>
      <c r="J109" s="185">
        <v>8.9640000000000004</v>
      </c>
      <c r="K109" s="181">
        <v>48</v>
      </c>
      <c r="P109" s="186">
        <v>179.57820000000001</v>
      </c>
      <c r="Q109" s="186">
        <v>615.42179999999996</v>
      </c>
      <c r="R109" s="183">
        <v>0.2</v>
      </c>
      <c r="S109" s="185">
        <v>-42.75</v>
      </c>
      <c r="T109" s="185">
        <v>80.334360000000004</v>
      </c>
      <c r="U109" s="185">
        <v>61.042180000000002</v>
      </c>
      <c r="V109" s="187">
        <v>93.984360000000009</v>
      </c>
      <c r="X109" s="185">
        <v>990</v>
      </c>
      <c r="Y109" s="185">
        <v>717.04525999999998</v>
      </c>
      <c r="Z109" s="183">
        <v>0.72428814141414144</v>
      </c>
      <c r="AA109" s="185">
        <v>131.57820000000001</v>
      </c>
      <c r="AB109" s="185">
        <v>80.334360000000004</v>
      </c>
      <c r="AC109" s="185">
        <v>61.042180000000002</v>
      </c>
      <c r="AD109" s="185">
        <v>990</v>
      </c>
      <c r="AE109" s="186">
        <v>11.968880000000013</v>
      </c>
      <c r="AF109" s="183">
        <v>0.23937760000000025</v>
      </c>
      <c r="AG109" s="186">
        <v>25.968880000000013</v>
      </c>
      <c r="AH109" s="183">
        <v>0.25968880000000011</v>
      </c>
    </row>
    <row r="110" spans="3:34" x14ac:dyDescent="0.25">
      <c r="C110" s="181">
        <v>1000</v>
      </c>
      <c r="D110" s="183">
        <v>0</v>
      </c>
      <c r="E110" s="185">
        <v>195</v>
      </c>
      <c r="F110" s="181">
        <v>195</v>
      </c>
      <c r="G110" s="185">
        <v>805</v>
      </c>
      <c r="H110" s="185">
        <v>51.244199999999992</v>
      </c>
      <c r="I110" s="185">
        <v>71.37</v>
      </c>
      <c r="J110" s="185">
        <v>8.9640000000000004</v>
      </c>
      <c r="K110" s="181">
        <v>48</v>
      </c>
      <c r="P110" s="186">
        <v>179.57820000000001</v>
      </c>
      <c r="Q110" s="186">
        <v>625.42179999999996</v>
      </c>
      <c r="R110" s="183">
        <v>0.2</v>
      </c>
      <c r="S110" s="185">
        <v>-42.75</v>
      </c>
      <c r="T110" s="185">
        <v>82.334360000000004</v>
      </c>
      <c r="U110" s="185">
        <v>62.042180000000002</v>
      </c>
      <c r="V110" s="187">
        <v>95.984360000000009</v>
      </c>
      <c r="X110" s="185">
        <v>1000</v>
      </c>
      <c r="Y110" s="185">
        <v>724.04525999999998</v>
      </c>
      <c r="Z110" s="183">
        <v>0.72404526000000002</v>
      </c>
      <c r="AA110" s="185">
        <v>131.57820000000001</v>
      </c>
      <c r="AB110" s="185">
        <v>82.334360000000004</v>
      </c>
      <c r="AC110" s="185">
        <v>62.042180000000002</v>
      </c>
      <c r="AD110" s="185">
        <v>1000</v>
      </c>
      <c r="AE110" s="186">
        <v>14</v>
      </c>
      <c r="AF110" s="183">
        <v>0.28000000000000003</v>
      </c>
      <c r="AG110" s="186">
        <v>25.968880000000013</v>
      </c>
      <c r="AH110" s="183">
        <v>0.25968880000000011</v>
      </c>
    </row>
    <row r="111" spans="3:34" x14ac:dyDescent="0.25">
      <c r="C111" s="181">
        <v>1010</v>
      </c>
      <c r="D111" s="183">
        <v>0</v>
      </c>
      <c r="E111" s="185">
        <v>195</v>
      </c>
      <c r="F111" s="181">
        <v>195</v>
      </c>
      <c r="G111" s="185">
        <v>815</v>
      </c>
      <c r="H111" s="185">
        <v>51.244199999999992</v>
      </c>
      <c r="I111" s="185">
        <v>71.37</v>
      </c>
      <c r="J111" s="185">
        <v>8.9640000000000004</v>
      </c>
      <c r="K111" s="181">
        <v>48</v>
      </c>
      <c r="P111" s="186">
        <v>179.57820000000001</v>
      </c>
      <c r="Q111" s="186">
        <v>635.42179999999996</v>
      </c>
      <c r="R111" s="183">
        <v>0.2</v>
      </c>
      <c r="S111" s="185">
        <v>-42.75</v>
      </c>
      <c r="T111" s="185">
        <v>84.334360000000004</v>
      </c>
      <c r="U111" s="185">
        <v>63.042180000000002</v>
      </c>
      <c r="V111" s="187">
        <v>97.984360000000009</v>
      </c>
      <c r="X111" s="185">
        <v>1010</v>
      </c>
      <c r="Y111" s="185">
        <v>731.04525999999998</v>
      </c>
      <c r="Z111" s="183">
        <v>0.72380718811881184</v>
      </c>
      <c r="AA111" s="185">
        <v>131.57820000000001</v>
      </c>
      <c r="AB111" s="185">
        <v>84.334360000000004</v>
      </c>
      <c r="AC111" s="185">
        <v>63.042180000000002</v>
      </c>
      <c r="AD111" s="185">
        <v>1010</v>
      </c>
      <c r="AE111" s="186">
        <v>14</v>
      </c>
      <c r="AF111" s="183">
        <v>0.28000000000000003</v>
      </c>
      <c r="AG111" s="186">
        <v>25.968880000000013</v>
      </c>
      <c r="AH111" s="183">
        <v>0.25968880000000011</v>
      </c>
    </row>
    <row r="112" spans="3:34" x14ac:dyDescent="0.25">
      <c r="C112" s="181">
        <v>1020</v>
      </c>
      <c r="D112" s="183">
        <v>0</v>
      </c>
      <c r="E112" s="185">
        <v>195</v>
      </c>
      <c r="F112" s="181">
        <v>195</v>
      </c>
      <c r="G112" s="185">
        <v>825</v>
      </c>
      <c r="H112" s="185">
        <v>51.244199999999992</v>
      </c>
      <c r="I112" s="185">
        <v>71.37</v>
      </c>
      <c r="J112" s="185">
        <v>8.9640000000000004</v>
      </c>
      <c r="K112" s="181">
        <v>48</v>
      </c>
      <c r="P112" s="186">
        <v>179.57820000000001</v>
      </c>
      <c r="Q112" s="186">
        <v>645.42179999999996</v>
      </c>
      <c r="R112" s="183">
        <v>0.2</v>
      </c>
      <c r="S112" s="185">
        <v>-42.75</v>
      </c>
      <c r="T112" s="185">
        <v>86.334360000000004</v>
      </c>
      <c r="U112" s="185">
        <v>64.042180000000002</v>
      </c>
      <c r="V112" s="187">
        <v>99.984360000000009</v>
      </c>
      <c r="X112" s="185">
        <v>1020</v>
      </c>
      <c r="Y112" s="185">
        <v>738.04525999999998</v>
      </c>
      <c r="Z112" s="183">
        <v>0.72357378431372543</v>
      </c>
      <c r="AA112" s="185">
        <v>131.57820000000001</v>
      </c>
      <c r="AB112" s="185">
        <v>86.334360000000004</v>
      </c>
      <c r="AC112" s="185">
        <v>64.042180000000002</v>
      </c>
      <c r="AD112" s="185">
        <v>1020</v>
      </c>
      <c r="AE112" s="186">
        <v>14</v>
      </c>
      <c r="AF112" s="183">
        <v>0.28000000000000003</v>
      </c>
      <c r="AG112" s="186">
        <v>28</v>
      </c>
      <c r="AH112" s="183">
        <v>0.28000000000000003</v>
      </c>
    </row>
    <row r="113" spans="3:34" x14ac:dyDescent="0.25">
      <c r="C113" s="181">
        <v>1030</v>
      </c>
      <c r="D113" s="183">
        <v>0</v>
      </c>
      <c r="E113" s="185">
        <v>195</v>
      </c>
      <c r="F113" s="181">
        <v>195</v>
      </c>
      <c r="G113" s="185">
        <v>835</v>
      </c>
      <c r="H113" s="185">
        <v>54.331199999999995</v>
      </c>
      <c r="I113" s="185">
        <v>71.37</v>
      </c>
      <c r="J113" s="185">
        <v>9.5039999999999996</v>
      </c>
      <c r="K113" s="181">
        <v>48</v>
      </c>
      <c r="P113" s="186">
        <v>183.20519999999999</v>
      </c>
      <c r="Q113" s="186">
        <v>651.79480000000001</v>
      </c>
      <c r="R113" s="183">
        <v>0.2</v>
      </c>
      <c r="S113" s="185">
        <v>-42.75</v>
      </c>
      <c r="T113" s="185">
        <v>87.608959999999996</v>
      </c>
      <c r="U113" s="185">
        <v>64.679479999999998</v>
      </c>
      <c r="V113" s="187">
        <v>101.25896</v>
      </c>
      <c r="X113" s="185">
        <v>1030</v>
      </c>
      <c r="Y113" s="185">
        <v>742.50636000000009</v>
      </c>
      <c r="Z113" s="183">
        <v>0.7208799611650486</v>
      </c>
      <c r="AA113" s="185">
        <v>135.20519999999999</v>
      </c>
      <c r="AB113" s="185">
        <v>87.608959999999996</v>
      </c>
      <c r="AC113" s="185">
        <v>64.679479999999998</v>
      </c>
      <c r="AD113" s="185">
        <v>1030</v>
      </c>
      <c r="AE113" s="186">
        <v>11.461100000000101</v>
      </c>
      <c r="AF113" s="183">
        <v>0.22922200000000204</v>
      </c>
      <c r="AG113" s="186">
        <v>25.461100000000101</v>
      </c>
      <c r="AH113" s="183">
        <v>0.25461100000000103</v>
      </c>
    </row>
    <row r="114" spans="3:34" x14ac:dyDescent="0.25">
      <c r="C114" s="181">
        <v>1040</v>
      </c>
      <c r="D114" s="183">
        <v>0</v>
      </c>
      <c r="E114" s="185">
        <v>195</v>
      </c>
      <c r="F114" s="181">
        <v>195</v>
      </c>
      <c r="G114" s="185">
        <v>845</v>
      </c>
      <c r="H114" s="185">
        <v>54.331199999999995</v>
      </c>
      <c r="I114" s="185">
        <v>71.37</v>
      </c>
      <c r="J114" s="185">
        <v>9.5039999999999996</v>
      </c>
      <c r="K114" s="181">
        <v>48</v>
      </c>
      <c r="P114" s="186">
        <v>183.20519999999999</v>
      </c>
      <c r="Q114" s="186">
        <v>661.79480000000001</v>
      </c>
      <c r="R114" s="183">
        <v>0.2</v>
      </c>
      <c r="S114" s="185">
        <v>-42.75</v>
      </c>
      <c r="T114" s="185">
        <v>89.608959999999996</v>
      </c>
      <c r="U114" s="185">
        <v>65.679479999999998</v>
      </c>
      <c r="V114" s="187">
        <v>103.25896</v>
      </c>
      <c r="X114" s="185">
        <v>1040</v>
      </c>
      <c r="Y114" s="185">
        <v>749.50636000000009</v>
      </c>
      <c r="Z114" s="183">
        <v>0.7206791923076924</v>
      </c>
      <c r="AA114" s="185">
        <v>135.20519999999999</v>
      </c>
      <c r="AB114" s="185">
        <v>89.608959999999996</v>
      </c>
      <c r="AC114" s="185">
        <v>65.679479999999998</v>
      </c>
      <c r="AD114" s="185">
        <v>1040</v>
      </c>
      <c r="AE114" s="186">
        <v>11.461100000000101</v>
      </c>
      <c r="AF114" s="183">
        <v>0.22922200000000204</v>
      </c>
      <c r="AG114" s="186">
        <v>25.461100000000101</v>
      </c>
      <c r="AH114" s="183">
        <v>0.25461100000000103</v>
      </c>
    </row>
    <row r="115" spans="3:34" x14ac:dyDescent="0.25">
      <c r="C115" s="181">
        <v>1050</v>
      </c>
      <c r="D115" s="183">
        <v>0</v>
      </c>
      <c r="E115" s="185">
        <v>195</v>
      </c>
      <c r="F115" s="181">
        <v>195</v>
      </c>
      <c r="G115" s="185">
        <v>855</v>
      </c>
      <c r="H115" s="185">
        <v>54.331199999999995</v>
      </c>
      <c r="I115" s="185">
        <v>71.37</v>
      </c>
      <c r="J115" s="185">
        <v>9.5039999999999996</v>
      </c>
      <c r="K115" s="181">
        <v>48</v>
      </c>
      <c r="P115" s="186">
        <v>183.20519999999999</v>
      </c>
      <c r="Q115" s="186">
        <v>671.79480000000001</v>
      </c>
      <c r="R115" s="183">
        <v>0.2</v>
      </c>
      <c r="S115" s="185">
        <v>-42.75</v>
      </c>
      <c r="T115" s="185">
        <v>91.608959999999996</v>
      </c>
      <c r="U115" s="185">
        <v>66.679479999999998</v>
      </c>
      <c r="V115" s="187">
        <v>105.25896</v>
      </c>
      <c r="X115" s="185">
        <v>1050</v>
      </c>
      <c r="Y115" s="185">
        <v>756.50636000000009</v>
      </c>
      <c r="Z115" s="183">
        <v>0.72048224761904767</v>
      </c>
      <c r="AA115" s="185">
        <v>135.20519999999999</v>
      </c>
      <c r="AB115" s="185">
        <v>91.608959999999996</v>
      </c>
      <c r="AC115" s="185">
        <v>66.679479999999998</v>
      </c>
      <c r="AD115" s="185">
        <v>1050</v>
      </c>
      <c r="AE115" s="186">
        <v>14</v>
      </c>
      <c r="AF115" s="183">
        <v>0.28000000000000003</v>
      </c>
      <c r="AG115" s="186">
        <v>25.461100000000101</v>
      </c>
      <c r="AH115" s="183">
        <v>0.25461100000000103</v>
      </c>
    </row>
    <row r="116" spans="3:34" x14ac:dyDescent="0.25">
      <c r="C116" s="181">
        <v>1060</v>
      </c>
      <c r="D116" s="183">
        <v>0</v>
      </c>
      <c r="E116" s="185">
        <v>195</v>
      </c>
      <c r="F116" s="181">
        <v>195</v>
      </c>
      <c r="G116" s="185">
        <v>865</v>
      </c>
      <c r="H116" s="185">
        <v>54.331199999999995</v>
      </c>
      <c r="I116" s="185">
        <v>71.37</v>
      </c>
      <c r="J116" s="185">
        <v>9.5039999999999996</v>
      </c>
      <c r="K116" s="181">
        <v>48</v>
      </c>
      <c r="P116" s="186">
        <v>183.20519999999999</v>
      </c>
      <c r="Q116" s="186">
        <v>681.79480000000001</v>
      </c>
      <c r="R116" s="183">
        <v>0.2</v>
      </c>
      <c r="S116" s="185">
        <v>-42.75</v>
      </c>
      <c r="T116" s="185">
        <v>93.608959999999996</v>
      </c>
      <c r="U116" s="185">
        <v>67.679479999999998</v>
      </c>
      <c r="V116" s="187">
        <v>107.25896</v>
      </c>
      <c r="X116" s="185">
        <v>1060</v>
      </c>
      <c r="Y116" s="185">
        <v>763.50636000000009</v>
      </c>
      <c r="Z116" s="183">
        <v>0.72028901886792462</v>
      </c>
      <c r="AA116" s="185">
        <v>135.20519999999999</v>
      </c>
      <c r="AB116" s="185">
        <v>93.608959999999996</v>
      </c>
      <c r="AC116" s="185">
        <v>67.679479999999998</v>
      </c>
      <c r="AD116" s="185">
        <v>1060</v>
      </c>
      <c r="AE116" s="186">
        <v>14</v>
      </c>
      <c r="AF116" s="183">
        <v>0.28000000000000003</v>
      </c>
      <c r="AG116" s="186">
        <v>25.461100000000101</v>
      </c>
      <c r="AH116" s="183">
        <v>0.25461100000000103</v>
      </c>
    </row>
    <row r="117" spans="3:34" x14ac:dyDescent="0.25">
      <c r="C117" s="181">
        <v>1070</v>
      </c>
      <c r="D117" s="183">
        <v>0</v>
      </c>
      <c r="E117" s="185">
        <v>195</v>
      </c>
      <c r="F117" s="181">
        <v>195</v>
      </c>
      <c r="G117" s="185">
        <v>875</v>
      </c>
      <c r="H117" s="185">
        <v>54.331199999999995</v>
      </c>
      <c r="I117" s="185">
        <v>71.37</v>
      </c>
      <c r="J117" s="185">
        <v>9.5039999999999996</v>
      </c>
      <c r="K117" s="181">
        <v>48</v>
      </c>
      <c r="P117" s="186">
        <v>183.20519999999999</v>
      </c>
      <c r="Q117" s="186">
        <v>691.79480000000001</v>
      </c>
      <c r="R117" s="183">
        <v>0.2</v>
      </c>
      <c r="S117" s="185">
        <v>-42.75</v>
      </c>
      <c r="T117" s="185">
        <v>95.608959999999996</v>
      </c>
      <c r="U117" s="185">
        <v>68.679479999999998</v>
      </c>
      <c r="V117" s="187">
        <v>109.25896</v>
      </c>
      <c r="X117" s="185">
        <v>1070</v>
      </c>
      <c r="Y117" s="185">
        <v>770.50636000000009</v>
      </c>
      <c r="Z117" s="183">
        <v>0.72009940186915899</v>
      </c>
      <c r="AA117" s="185">
        <v>135.20519999999999</v>
      </c>
      <c r="AB117" s="185">
        <v>95.608959999999996</v>
      </c>
      <c r="AC117" s="185">
        <v>68.679479999999998</v>
      </c>
      <c r="AD117" s="185">
        <v>1070</v>
      </c>
      <c r="AE117" s="186">
        <v>14</v>
      </c>
      <c r="AF117" s="183">
        <v>0.28000000000000003</v>
      </c>
      <c r="AG117" s="186">
        <v>28</v>
      </c>
      <c r="AH117" s="183">
        <v>0.28000000000000003</v>
      </c>
    </row>
    <row r="118" spans="3:34" x14ac:dyDescent="0.25">
      <c r="C118" s="181">
        <v>1080</v>
      </c>
      <c r="D118" s="183">
        <v>0</v>
      </c>
      <c r="E118" s="185">
        <v>195</v>
      </c>
      <c r="F118" s="181">
        <v>195</v>
      </c>
      <c r="G118" s="185">
        <v>885</v>
      </c>
      <c r="H118" s="185">
        <v>54.331199999999995</v>
      </c>
      <c r="I118" s="185">
        <v>71.37</v>
      </c>
      <c r="J118" s="185">
        <v>9.5039999999999996</v>
      </c>
      <c r="K118" s="181">
        <v>48</v>
      </c>
      <c r="P118" s="186">
        <v>183.20519999999999</v>
      </c>
      <c r="Q118" s="186">
        <v>701.79480000000001</v>
      </c>
      <c r="R118" s="183">
        <v>0.23</v>
      </c>
      <c r="S118" s="185">
        <v>-63.6</v>
      </c>
      <c r="T118" s="185">
        <v>97.812804000000028</v>
      </c>
      <c r="U118" s="185">
        <v>69.679479999999998</v>
      </c>
      <c r="V118" s="187">
        <v>111.46280400000003</v>
      </c>
      <c r="X118" s="185">
        <v>1080</v>
      </c>
      <c r="Y118" s="185">
        <v>777.30251599999997</v>
      </c>
      <c r="Z118" s="183">
        <v>0.7197245518518518</v>
      </c>
      <c r="AA118" s="185">
        <v>135.20519999999999</v>
      </c>
      <c r="AB118" s="185">
        <v>97.812804000000028</v>
      </c>
      <c r="AC118" s="185">
        <v>69.679479999999998</v>
      </c>
      <c r="AD118" s="185">
        <v>1080</v>
      </c>
      <c r="AE118" s="186">
        <v>13.796155999999883</v>
      </c>
      <c r="AF118" s="183">
        <v>0.27592311999999763</v>
      </c>
      <c r="AG118" s="186">
        <v>27.796155999999883</v>
      </c>
      <c r="AH118" s="183">
        <v>0.27796155999999883</v>
      </c>
    </row>
    <row r="119" spans="3:34" x14ac:dyDescent="0.25">
      <c r="C119" s="181">
        <v>1090</v>
      </c>
      <c r="D119" s="183">
        <v>0</v>
      </c>
      <c r="E119" s="185">
        <v>195</v>
      </c>
      <c r="F119" s="181">
        <v>195</v>
      </c>
      <c r="G119" s="185">
        <v>895</v>
      </c>
      <c r="H119" s="185">
        <v>57.418199999999999</v>
      </c>
      <c r="I119" s="185">
        <v>71.37</v>
      </c>
      <c r="J119" s="185">
        <v>10.044</v>
      </c>
      <c r="K119" s="181">
        <v>48</v>
      </c>
      <c r="P119" s="186">
        <v>186.83220000000003</v>
      </c>
      <c r="Q119" s="186">
        <v>708.16779999999994</v>
      </c>
      <c r="R119" s="183">
        <v>0.23</v>
      </c>
      <c r="S119" s="185">
        <v>-63.6</v>
      </c>
      <c r="T119" s="185">
        <v>99.278593999999998</v>
      </c>
      <c r="U119" s="185">
        <v>70.316779999999994</v>
      </c>
      <c r="V119" s="187">
        <v>112.928594</v>
      </c>
      <c r="X119" s="185">
        <v>1090</v>
      </c>
      <c r="Y119" s="185">
        <v>781.57242599999995</v>
      </c>
      <c r="Z119" s="183">
        <v>0.71703892293577975</v>
      </c>
      <c r="AA119" s="185">
        <v>138.83220000000003</v>
      </c>
      <c r="AB119" s="185">
        <v>99.278593999999998</v>
      </c>
      <c r="AC119" s="185">
        <v>70.316779999999994</v>
      </c>
      <c r="AD119" s="185">
        <v>1090</v>
      </c>
      <c r="AE119" s="186">
        <v>11.066065999999864</v>
      </c>
      <c r="AF119" s="183">
        <v>0.2213213199999973</v>
      </c>
      <c r="AG119" s="186">
        <v>25.066065999999864</v>
      </c>
      <c r="AH119" s="183">
        <v>0.25066065999999865</v>
      </c>
    </row>
    <row r="120" spans="3:34" x14ac:dyDescent="0.25">
      <c r="C120" s="181">
        <v>1100</v>
      </c>
      <c r="D120" s="183">
        <v>0</v>
      </c>
      <c r="E120" s="185">
        <v>195</v>
      </c>
      <c r="F120" s="181">
        <v>195</v>
      </c>
      <c r="G120" s="185">
        <v>905</v>
      </c>
      <c r="H120" s="185">
        <v>57.418199999999999</v>
      </c>
      <c r="I120" s="185">
        <v>71.37</v>
      </c>
      <c r="J120" s="185">
        <v>10.044</v>
      </c>
      <c r="K120" s="181">
        <v>48</v>
      </c>
      <c r="P120" s="186">
        <v>186.83220000000003</v>
      </c>
      <c r="Q120" s="186">
        <v>718.16779999999994</v>
      </c>
      <c r="R120" s="183">
        <v>0.23</v>
      </c>
      <c r="S120" s="185">
        <v>-63.6</v>
      </c>
      <c r="T120" s="185">
        <v>101.57859400000001</v>
      </c>
      <c r="U120" s="185">
        <v>71.316779999999994</v>
      </c>
      <c r="V120" s="187">
        <v>115.22859400000002</v>
      </c>
      <c r="X120" s="185">
        <v>1100</v>
      </c>
      <c r="Y120" s="185">
        <v>788.272426</v>
      </c>
      <c r="Z120" s="183">
        <v>0.71661129636363641</v>
      </c>
      <c r="AA120" s="185">
        <v>138.83220000000003</v>
      </c>
      <c r="AB120" s="185">
        <v>101.57859400000001</v>
      </c>
      <c r="AC120" s="185">
        <v>71.316779999999994</v>
      </c>
      <c r="AD120" s="185">
        <v>1100</v>
      </c>
      <c r="AE120" s="186">
        <v>10.969910000000027</v>
      </c>
      <c r="AF120" s="183">
        <v>0.21939820000000054</v>
      </c>
      <c r="AG120" s="186">
        <v>24.76606599999991</v>
      </c>
      <c r="AH120" s="183">
        <v>0.24766065999999909</v>
      </c>
    </row>
    <row r="121" spans="3:34" x14ac:dyDescent="0.25">
      <c r="C121" s="181">
        <v>1110</v>
      </c>
      <c r="D121" s="183">
        <v>0</v>
      </c>
      <c r="E121" s="185">
        <v>195</v>
      </c>
      <c r="F121" s="181">
        <v>195</v>
      </c>
      <c r="G121" s="185">
        <v>915</v>
      </c>
      <c r="H121" s="185">
        <v>57.418199999999999</v>
      </c>
      <c r="I121" s="185">
        <v>71.37</v>
      </c>
      <c r="J121" s="185">
        <v>10.044</v>
      </c>
      <c r="K121" s="181">
        <v>48</v>
      </c>
      <c r="P121" s="186">
        <v>186.83220000000003</v>
      </c>
      <c r="Q121" s="186">
        <v>728.16779999999994</v>
      </c>
      <c r="R121" s="183">
        <v>0.23</v>
      </c>
      <c r="S121" s="185">
        <v>-63.6</v>
      </c>
      <c r="T121" s="185">
        <v>103.87859399999999</v>
      </c>
      <c r="U121" s="185">
        <v>72.316779999999994</v>
      </c>
      <c r="V121" s="187">
        <v>117.528594</v>
      </c>
      <c r="X121" s="185">
        <v>1110</v>
      </c>
      <c r="Y121" s="185">
        <v>794.97242600000004</v>
      </c>
      <c r="Z121" s="183">
        <v>0.71619137477477479</v>
      </c>
      <c r="AA121" s="185">
        <v>138.83220000000003</v>
      </c>
      <c r="AB121" s="185">
        <v>103.87859399999999</v>
      </c>
      <c r="AC121" s="185">
        <v>72.316779999999994</v>
      </c>
      <c r="AD121" s="185">
        <v>1110</v>
      </c>
      <c r="AE121" s="186">
        <v>13.400000000000091</v>
      </c>
      <c r="AF121" s="183">
        <v>0.26800000000000179</v>
      </c>
      <c r="AG121" s="186">
        <v>24.466065999999955</v>
      </c>
      <c r="AH121" s="183">
        <v>0.24466065999999956</v>
      </c>
    </row>
    <row r="122" spans="3:34" x14ac:dyDescent="0.25">
      <c r="C122" s="181">
        <v>1120</v>
      </c>
      <c r="D122" s="183">
        <v>0</v>
      </c>
      <c r="E122" s="185">
        <v>195</v>
      </c>
      <c r="F122" s="181">
        <v>195</v>
      </c>
      <c r="G122" s="185">
        <v>925</v>
      </c>
      <c r="H122" s="185">
        <v>57.418199999999999</v>
      </c>
      <c r="I122" s="185">
        <v>71.37</v>
      </c>
      <c r="J122" s="185">
        <v>10.044</v>
      </c>
      <c r="K122" s="181">
        <v>48</v>
      </c>
      <c r="P122" s="186">
        <v>186.83220000000003</v>
      </c>
      <c r="Q122" s="186">
        <v>738.16779999999994</v>
      </c>
      <c r="R122" s="183">
        <v>0.23</v>
      </c>
      <c r="S122" s="185">
        <v>-63.6</v>
      </c>
      <c r="T122" s="185">
        <v>106.178594</v>
      </c>
      <c r="U122" s="185">
        <v>73.316779999999994</v>
      </c>
      <c r="V122" s="187">
        <v>119.82859400000001</v>
      </c>
      <c r="X122" s="185">
        <v>1120</v>
      </c>
      <c r="Y122" s="185">
        <v>801.67242599999997</v>
      </c>
      <c r="Z122" s="183">
        <v>0.71577895178571427</v>
      </c>
      <c r="AA122" s="185">
        <v>138.83220000000003</v>
      </c>
      <c r="AB122" s="185">
        <v>106.178594</v>
      </c>
      <c r="AC122" s="185">
        <v>73.316779999999994</v>
      </c>
      <c r="AD122" s="185">
        <v>1120</v>
      </c>
      <c r="AE122" s="186">
        <v>13.399999999999977</v>
      </c>
      <c r="AF122" s="183">
        <v>0.26799999999999957</v>
      </c>
      <c r="AG122" s="186">
        <v>24.369910000000004</v>
      </c>
      <c r="AH122" s="183">
        <v>0.24369910000000006</v>
      </c>
    </row>
    <row r="123" spans="3:34" x14ac:dyDescent="0.25">
      <c r="C123" s="181">
        <v>1130</v>
      </c>
      <c r="D123" s="183">
        <v>0</v>
      </c>
      <c r="E123" s="185">
        <v>195</v>
      </c>
      <c r="F123" s="181">
        <v>195</v>
      </c>
      <c r="G123" s="185">
        <v>935</v>
      </c>
      <c r="H123" s="185">
        <v>57.418199999999999</v>
      </c>
      <c r="I123" s="185">
        <v>71.37</v>
      </c>
      <c r="J123" s="185">
        <v>10.044</v>
      </c>
      <c r="K123" s="181">
        <v>48</v>
      </c>
      <c r="P123" s="186">
        <v>186.83220000000003</v>
      </c>
      <c r="Q123" s="186">
        <v>748.16779999999994</v>
      </c>
      <c r="R123" s="183">
        <v>0.23</v>
      </c>
      <c r="S123" s="185">
        <v>-63.6</v>
      </c>
      <c r="T123" s="185">
        <v>108.47859399999999</v>
      </c>
      <c r="U123" s="185">
        <v>74.316779999999994</v>
      </c>
      <c r="V123" s="187">
        <v>122.12859399999999</v>
      </c>
      <c r="X123" s="185">
        <v>1130</v>
      </c>
      <c r="Y123" s="185">
        <v>808.37242600000002</v>
      </c>
      <c r="Z123" s="183">
        <v>0.71537382831858409</v>
      </c>
      <c r="AA123" s="185">
        <v>138.83220000000003</v>
      </c>
      <c r="AB123" s="185">
        <v>108.47859399999999</v>
      </c>
      <c r="AC123" s="185">
        <v>74.316779999999994</v>
      </c>
      <c r="AD123" s="185">
        <v>1130</v>
      </c>
      <c r="AE123" s="186">
        <v>13.399999999999977</v>
      </c>
      <c r="AF123" s="183">
        <v>0.26799999999999957</v>
      </c>
      <c r="AG123" s="186">
        <v>26.800000000000068</v>
      </c>
      <c r="AH123" s="183">
        <v>0.26800000000000068</v>
      </c>
    </row>
    <row r="124" spans="3:34" x14ac:dyDescent="0.25">
      <c r="C124" s="181">
        <v>1140</v>
      </c>
      <c r="D124" s="183">
        <v>0</v>
      </c>
      <c r="E124" s="185">
        <v>195</v>
      </c>
      <c r="F124" s="181">
        <v>195</v>
      </c>
      <c r="G124" s="185">
        <v>945</v>
      </c>
      <c r="H124" s="185">
        <v>57.418199999999999</v>
      </c>
      <c r="I124" s="185">
        <v>71.37</v>
      </c>
      <c r="J124" s="185">
        <v>10.044</v>
      </c>
      <c r="K124" s="181">
        <v>48</v>
      </c>
      <c r="P124" s="186">
        <v>186.83220000000003</v>
      </c>
      <c r="Q124" s="186">
        <v>758.16779999999994</v>
      </c>
      <c r="R124" s="183">
        <v>0.23</v>
      </c>
      <c r="S124" s="185">
        <v>-63.6</v>
      </c>
      <c r="T124" s="185">
        <v>110.778594</v>
      </c>
      <c r="U124" s="185">
        <v>75.316779999999994</v>
      </c>
      <c r="V124" s="187">
        <v>124.428594</v>
      </c>
      <c r="X124" s="185">
        <v>1140</v>
      </c>
      <c r="Y124" s="185">
        <v>815.07242599999995</v>
      </c>
      <c r="Z124" s="183">
        <v>0.71497581228070173</v>
      </c>
      <c r="AA124" s="185">
        <v>138.83220000000003</v>
      </c>
      <c r="AB124" s="185">
        <v>110.778594</v>
      </c>
      <c r="AC124" s="185">
        <v>75.316779999999994</v>
      </c>
      <c r="AD124" s="185">
        <v>1140</v>
      </c>
      <c r="AE124" s="186">
        <v>13.399999999999977</v>
      </c>
      <c r="AF124" s="183">
        <v>0.26799999999999957</v>
      </c>
      <c r="AG124" s="186">
        <v>26.799999999999955</v>
      </c>
      <c r="AH124" s="183">
        <v>0.26799999999999957</v>
      </c>
    </row>
    <row r="125" spans="3:34" x14ac:dyDescent="0.25">
      <c r="C125" s="181">
        <v>1150</v>
      </c>
      <c r="D125" s="183">
        <v>0</v>
      </c>
      <c r="E125" s="185">
        <v>195</v>
      </c>
      <c r="F125" s="181">
        <v>195</v>
      </c>
      <c r="G125" s="185">
        <v>955</v>
      </c>
      <c r="H125" s="185">
        <v>60.505199999999995</v>
      </c>
      <c r="I125" s="185">
        <v>71.37</v>
      </c>
      <c r="J125" s="185">
        <v>10.584</v>
      </c>
      <c r="K125" s="181">
        <v>48</v>
      </c>
      <c r="P125" s="186">
        <v>190.45920000000001</v>
      </c>
      <c r="Q125" s="186">
        <v>764.54079999999999</v>
      </c>
      <c r="R125" s="183">
        <v>0.23</v>
      </c>
      <c r="S125" s="185">
        <v>-63.6</v>
      </c>
      <c r="T125" s="185">
        <v>112.24438400000003</v>
      </c>
      <c r="U125" s="185">
        <v>75.954080000000005</v>
      </c>
      <c r="V125" s="187">
        <v>125.89438400000003</v>
      </c>
      <c r="X125" s="185">
        <v>1150</v>
      </c>
      <c r="Y125" s="185">
        <v>819.34233599999993</v>
      </c>
      <c r="Z125" s="183">
        <v>0.71247159652173908</v>
      </c>
      <c r="AA125" s="185">
        <v>142.45920000000001</v>
      </c>
      <c r="AB125" s="185">
        <v>112.24438400000003</v>
      </c>
      <c r="AC125" s="185">
        <v>75.954080000000005</v>
      </c>
      <c r="AD125" s="185">
        <v>1150</v>
      </c>
      <c r="AE125" s="186">
        <v>10.969909999999913</v>
      </c>
      <c r="AF125" s="183">
        <v>0.21939819999999827</v>
      </c>
      <c r="AG125" s="186">
        <v>24.369909999999891</v>
      </c>
      <c r="AH125" s="183">
        <v>0.24369909999999892</v>
      </c>
    </row>
    <row r="126" spans="3:34" x14ac:dyDescent="0.25">
      <c r="C126" s="181">
        <v>1160</v>
      </c>
      <c r="D126" s="183">
        <v>0</v>
      </c>
      <c r="E126" s="185">
        <v>195</v>
      </c>
      <c r="F126" s="181">
        <v>195</v>
      </c>
      <c r="G126" s="185">
        <v>965</v>
      </c>
      <c r="H126" s="185">
        <v>60.505199999999995</v>
      </c>
      <c r="I126" s="185">
        <v>71.37</v>
      </c>
      <c r="J126" s="185">
        <v>10.584</v>
      </c>
      <c r="K126" s="181">
        <v>48</v>
      </c>
      <c r="P126" s="186">
        <v>190.45920000000001</v>
      </c>
      <c r="Q126" s="186">
        <v>774.54079999999999</v>
      </c>
      <c r="R126" s="183">
        <v>0.23</v>
      </c>
      <c r="S126" s="185">
        <v>-63.6</v>
      </c>
      <c r="T126" s="185">
        <v>114.54438400000001</v>
      </c>
      <c r="U126" s="185">
        <v>76.954080000000005</v>
      </c>
      <c r="V126" s="187">
        <v>128.19438400000001</v>
      </c>
      <c r="X126" s="185">
        <v>1160</v>
      </c>
      <c r="Y126" s="185">
        <v>826.04233599999998</v>
      </c>
      <c r="Z126" s="183">
        <v>0.71210546206896552</v>
      </c>
      <c r="AA126" s="185">
        <v>142.45920000000001</v>
      </c>
      <c r="AB126" s="185">
        <v>114.54438400000001</v>
      </c>
      <c r="AC126" s="185">
        <v>76.954080000000005</v>
      </c>
      <c r="AD126" s="185">
        <v>1160</v>
      </c>
      <c r="AE126" s="186">
        <v>10.969910000000027</v>
      </c>
      <c r="AF126" s="183">
        <v>0.21939820000000054</v>
      </c>
      <c r="AG126" s="186">
        <v>24.369910000000004</v>
      </c>
      <c r="AH126" s="183">
        <v>0.24369910000000006</v>
      </c>
    </row>
    <row r="127" spans="3:34" x14ac:dyDescent="0.25">
      <c r="C127" s="181">
        <v>1170</v>
      </c>
      <c r="D127" s="183">
        <v>0</v>
      </c>
      <c r="E127" s="185">
        <v>195</v>
      </c>
      <c r="F127" s="181">
        <v>195</v>
      </c>
      <c r="G127" s="185">
        <v>975</v>
      </c>
      <c r="H127" s="185">
        <v>60.505199999999995</v>
      </c>
      <c r="I127" s="185">
        <v>71.37</v>
      </c>
      <c r="J127" s="185">
        <v>10.584</v>
      </c>
      <c r="K127" s="181">
        <v>48</v>
      </c>
      <c r="P127" s="186">
        <v>190.45920000000001</v>
      </c>
      <c r="Q127" s="186">
        <v>784.54079999999999</v>
      </c>
      <c r="R127" s="183">
        <v>0.23</v>
      </c>
      <c r="S127" s="185">
        <v>-63.6</v>
      </c>
      <c r="T127" s="185">
        <v>116.84438400000002</v>
      </c>
      <c r="U127" s="185">
        <v>77.954080000000005</v>
      </c>
      <c r="V127" s="187">
        <v>130.49438400000003</v>
      </c>
      <c r="X127" s="185">
        <v>1170</v>
      </c>
      <c r="Y127" s="185">
        <v>832.74233600000002</v>
      </c>
      <c r="Z127" s="183">
        <v>0.71174558632478635</v>
      </c>
      <c r="AA127" s="185">
        <v>142.45920000000001</v>
      </c>
      <c r="AB127" s="185">
        <v>116.84438400000002</v>
      </c>
      <c r="AC127" s="185">
        <v>77.954080000000005</v>
      </c>
      <c r="AD127" s="185">
        <v>1170</v>
      </c>
      <c r="AE127" s="186">
        <v>13.400000000000091</v>
      </c>
      <c r="AF127" s="183">
        <v>0.26800000000000179</v>
      </c>
      <c r="AG127" s="186">
        <v>24.369910000000004</v>
      </c>
      <c r="AH127" s="183">
        <v>0.24369910000000006</v>
      </c>
    </row>
    <row r="128" spans="3:34" x14ac:dyDescent="0.25">
      <c r="C128" s="181">
        <v>1180</v>
      </c>
      <c r="D128" s="183">
        <v>0</v>
      </c>
      <c r="E128" s="185">
        <v>195</v>
      </c>
      <c r="F128" s="181">
        <v>195</v>
      </c>
      <c r="G128" s="185">
        <v>985</v>
      </c>
      <c r="H128" s="185">
        <v>60.505199999999995</v>
      </c>
      <c r="I128" s="185">
        <v>71.37</v>
      </c>
      <c r="J128" s="185">
        <v>10.584</v>
      </c>
      <c r="K128" s="181">
        <v>48</v>
      </c>
      <c r="P128" s="186">
        <v>190.45920000000001</v>
      </c>
      <c r="Q128" s="186">
        <v>794.54079999999999</v>
      </c>
      <c r="R128" s="183">
        <v>0.23</v>
      </c>
      <c r="S128" s="185">
        <v>-63.6</v>
      </c>
      <c r="T128" s="185">
        <v>119.144384</v>
      </c>
      <c r="U128" s="185">
        <v>78.954080000000005</v>
      </c>
      <c r="V128" s="187">
        <v>132.79438400000001</v>
      </c>
      <c r="X128" s="185">
        <v>1180</v>
      </c>
      <c r="Y128" s="185">
        <v>839.44233599999995</v>
      </c>
      <c r="Z128" s="183">
        <v>0.71139181016949149</v>
      </c>
      <c r="AA128" s="185">
        <v>142.45920000000001</v>
      </c>
      <c r="AB128" s="185">
        <v>119.144384</v>
      </c>
      <c r="AC128" s="185">
        <v>78.954080000000005</v>
      </c>
      <c r="AD128" s="185">
        <v>1180</v>
      </c>
      <c r="AE128" s="186">
        <v>13.399999999999977</v>
      </c>
      <c r="AF128" s="183">
        <v>0.26799999999999957</v>
      </c>
      <c r="AG128" s="186">
        <v>24.369910000000004</v>
      </c>
      <c r="AH128" s="183">
        <v>0.24369910000000006</v>
      </c>
    </row>
    <row r="129" spans="3:34" x14ac:dyDescent="0.25">
      <c r="C129" s="181">
        <v>1190</v>
      </c>
      <c r="D129" s="183">
        <v>0</v>
      </c>
      <c r="E129" s="185">
        <v>195</v>
      </c>
      <c r="F129" s="181">
        <v>195</v>
      </c>
      <c r="G129" s="185">
        <v>995</v>
      </c>
      <c r="H129" s="185">
        <v>60.505199999999995</v>
      </c>
      <c r="I129" s="185">
        <v>71.37</v>
      </c>
      <c r="J129" s="185">
        <v>10.584</v>
      </c>
      <c r="K129" s="181">
        <v>48</v>
      </c>
      <c r="P129" s="186">
        <v>190.45920000000001</v>
      </c>
      <c r="Q129" s="186">
        <v>804.54079999999999</v>
      </c>
      <c r="R129" s="183">
        <v>0.23</v>
      </c>
      <c r="S129" s="185">
        <v>-63.6</v>
      </c>
      <c r="T129" s="185">
        <v>121.44438400000001</v>
      </c>
      <c r="U129" s="185">
        <v>79.954080000000005</v>
      </c>
      <c r="V129" s="187">
        <v>135.09438400000002</v>
      </c>
      <c r="X129" s="185">
        <v>1190</v>
      </c>
      <c r="Y129" s="185">
        <v>846.142336</v>
      </c>
      <c r="Z129" s="183">
        <v>0.71104397983193279</v>
      </c>
      <c r="AA129" s="185">
        <v>142.45920000000001</v>
      </c>
      <c r="AB129" s="185">
        <v>121.44438400000001</v>
      </c>
      <c r="AC129" s="185">
        <v>79.954080000000005</v>
      </c>
      <c r="AD129" s="185">
        <v>1190</v>
      </c>
      <c r="AE129" s="186">
        <v>13.399999999999977</v>
      </c>
      <c r="AF129" s="183">
        <v>0.26799999999999957</v>
      </c>
      <c r="AG129" s="186">
        <v>26.800000000000068</v>
      </c>
      <c r="AH129" s="183">
        <v>0.26800000000000068</v>
      </c>
    </row>
    <row r="130" spans="3:34" x14ac:dyDescent="0.25">
      <c r="C130" s="181">
        <v>1200</v>
      </c>
      <c r="D130" s="183">
        <v>0</v>
      </c>
      <c r="E130" s="185">
        <v>195</v>
      </c>
      <c r="F130" s="181">
        <v>195</v>
      </c>
      <c r="G130" s="185">
        <v>1005</v>
      </c>
      <c r="H130" s="185">
        <v>60.505199999999995</v>
      </c>
      <c r="I130" s="185">
        <v>71.37</v>
      </c>
      <c r="J130" s="185">
        <v>10.584</v>
      </c>
      <c r="K130" s="181">
        <v>48</v>
      </c>
      <c r="P130" s="186">
        <v>190.45920000000001</v>
      </c>
      <c r="Q130" s="186">
        <v>814.54079999999999</v>
      </c>
      <c r="R130" s="183">
        <v>0.23</v>
      </c>
      <c r="S130" s="185">
        <v>-63.6</v>
      </c>
      <c r="T130" s="185">
        <v>123.74438400000003</v>
      </c>
      <c r="U130" s="185">
        <v>80.954080000000005</v>
      </c>
      <c r="V130" s="187">
        <v>137.39438400000003</v>
      </c>
      <c r="X130" s="185">
        <v>1200</v>
      </c>
      <c r="Y130" s="185">
        <v>852.84233599999993</v>
      </c>
      <c r="Z130" s="183">
        <v>0.71070194666666664</v>
      </c>
      <c r="AA130" s="185">
        <v>142.45920000000001</v>
      </c>
      <c r="AB130" s="185">
        <v>123.74438400000003</v>
      </c>
      <c r="AC130" s="185">
        <v>80.954080000000005</v>
      </c>
      <c r="AD130" s="185">
        <v>1200</v>
      </c>
      <c r="AE130" s="186">
        <v>13.399999999999977</v>
      </c>
      <c r="AF130" s="183">
        <v>0.26799999999999957</v>
      </c>
      <c r="AG130" s="186">
        <v>26.799999999999955</v>
      </c>
      <c r="AH130" s="183">
        <v>0.26799999999999957</v>
      </c>
    </row>
    <row r="131" spans="3:34" x14ac:dyDescent="0.25">
      <c r="C131" s="181">
        <v>1210</v>
      </c>
      <c r="D131" s="183">
        <v>0</v>
      </c>
      <c r="E131" s="185">
        <v>195</v>
      </c>
      <c r="F131" s="181">
        <v>195</v>
      </c>
      <c r="G131" s="185">
        <v>1015</v>
      </c>
      <c r="H131" s="185">
        <v>63.592199999999991</v>
      </c>
      <c r="I131" s="185">
        <v>71.37</v>
      </c>
      <c r="J131" s="185">
        <v>11.123999999999999</v>
      </c>
      <c r="K131" s="181">
        <v>48</v>
      </c>
      <c r="P131" s="186">
        <v>194.08619999999999</v>
      </c>
      <c r="Q131" s="186">
        <v>820.91380000000004</v>
      </c>
      <c r="R131" s="183">
        <v>0.23</v>
      </c>
      <c r="S131" s="185">
        <v>-63.6</v>
      </c>
      <c r="T131" s="185">
        <v>125.21017400000002</v>
      </c>
      <c r="U131" s="185">
        <v>81.591380000000015</v>
      </c>
      <c r="V131" s="187">
        <v>138.86017400000003</v>
      </c>
      <c r="X131" s="185">
        <v>1210</v>
      </c>
      <c r="Y131" s="185">
        <v>857.11224599999991</v>
      </c>
      <c r="Z131" s="183">
        <v>0.70835722809917345</v>
      </c>
      <c r="AA131" s="185">
        <v>146.08619999999999</v>
      </c>
      <c r="AB131" s="185">
        <v>125.21017400000002</v>
      </c>
      <c r="AC131" s="185">
        <v>81.591380000000015</v>
      </c>
      <c r="AD131" s="185">
        <v>1210</v>
      </c>
      <c r="AE131" s="186">
        <v>10.969909999999913</v>
      </c>
      <c r="AF131" s="183">
        <v>0.21939819999999827</v>
      </c>
      <c r="AG131" s="186">
        <v>24.369909999999891</v>
      </c>
      <c r="AH131" s="183">
        <v>0.24369909999999892</v>
      </c>
    </row>
    <row r="132" spans="3:34" x14ac:dyDescent="0.25">
      <c r="C132" s="181">
        <v>1220</v>
      </c>
      <c r="D132" s="183">
        <v>0</v>
      </c>
      <c r="E132" s="185">
        <v>195</v>
      </c>
      <c r="F132" s="181">
        <v>195</v>
      </c>
      <c r="G132" s="185">
        <v>1025</v>
      </c>
      <c r="H132" s="185">
        <v>63.592199999999991</v>
      </c>
      <c r="I132" s="185">
        <v>71.37</v>
      </c>
      <c r="J132" s="185">
        <v>11.123999999999999</v>
      </c>
      <c r="K132" s="181">
        <v>48</v>
      </c>
      <c r="P132" s="186">
        <v>194.08619999999999</v>
      </c>
      <c r="Q132" s="186">
        <v>830.91380000000004</v>
      </c>
      <c r="R132" s="183">
        <v>0.23</v>
      </c>
      <c r="S132" s="185">
        <v>-63.6</v>
      </c>
      <c r="T132" s="185">
        <v>127.51017400000003</v>
      </c>
      <c r="U132" s="185">
        <v>82.591380000000015</v>
      </c>
      <c r="V132" s="187">
        <v>141.16017400000004</v>
      </c>
      <c r="X132" s="185">
        <v>1220</v>
      </c>
      <c r="Y132" s="185">
        <v>863.81224599999996</v>
      </c>
      <c r="Z132" s="183">
        <v>0.70804282459016388</v>
      </c>
      <c r="AA132" s="185">
        <v>146.08619999999999</v>
      </c>
      <c r="AB132" s="185">
        <v>127.51017400000003</v>
      </c>
      <c r="AC132" s="185">
        <v>82.591380000000015</v>
      </c>
      <c r="AD132" s="185">
        <v>1220</v>
      </c>
      <c r="AE132" s="186">
        <v>10.969910000000027</v>
      </c>
      <c r="AF132" s="183">
        <v>0.21939820000000054</v>
      </c>
      <c r="AG132" s="186">
        <v>24.369910000000004</v>
      </c>
      <c r="AH132" s="183">
        <v>0.24369910000000006</v>
      </c>
    </row>
    <row r="133" spans="3:34" x14ac:dyDescent="0.25">
      <c r="C133" s="181">
        <v>1230</v>
      </c>
      <c r="D133" s="183">
        <v>0</v>
      </c>
      <c r="E133" s="185">
        <v>195</v>
      </c>
      <c r="F133" s="181">
        <v>195</v>
      </c>
      <c r="G133" s="185">
        <v>1035</v>
      </c>
      <c r="H133" s="185">
        <v>63.592199999999991</v>
      </c>
      <c r="I133" s="185">
        <v>71.37</v>
      </c>
      <c r="J133" s="185">
        <v>11.123999999999999</v>
      </c>
      <c r="K133" s="181">
        <v>48</v>
      </c>
      <c r="P133" s="186">
        <v>194.08619999999999</v>
      </c>
      <c r="Q133" s="186">
        <v>840.91380000000004</v>
      </c>
      <c r="R133" s="183">
        <v>0.23</v>
      </c>
      <c r="S133" s="185">
        <v>-63.6</v>
      </c>
      <c r="T133" s="185">
        <v>129.81017400000002</v>
      </c>
      <c r="U133" s="185">
        <v>83.591380000000015</v>
      </c>
      <c r="V133" s="187">
        <v>143.46017400000002</v>
      </c>
      <c r="X133" s="185">
        <v>1230</v>
      </c>
      <c r="Y133" s="185">
        <v>870.512246</v>
      </c>
      <c r="Z133" s="183">
        <v>0.70773353333333333</v>
      </c>
      <c r="AA133" s="185">
        <v>146.08619999999999</v>
      </c>
      <c r="AB133" s="185">
        <v>129.81017400000002</v>
      </c>
      <c r="AC133" s="185">
        <v>83.591380000000015</v>
      </c>
      <c r="AD133" s="185">
        <v>1230</v>
      </c>
      <c r="AE133" s="186">
        <v>13.400000000000091</v>
      </c>
      <c r="AF133" s="183">
        <v>0.26800000000000179</v>
      </c>
      <c r="AG133" s="186">
        <v>24.369910000000004</v>
      </c>
      <c r="AH133" s="183">
        <v>0.24369910000000006</v>
      </c>
    </row>
    <row r="134" spans="3:34" x14ac:dyDescent="0.25">
      <c r="C134" s="181">
        <v>1240</v>
      </c>
      <c r="D134" s="183">
        <v>0</v>
      </c>
      <c r="E134" s="185">
        <v>195</v>
      </c>
      <c r="F134" s="181">
        <v>195</v>
      </c>
      <c r="G134" s="185">
        <v>1045</v>
      </c>
      <c r="H134" s="185">
        <v>63.592199999999991</v>
      </c>
      <c r="I134" s="185">
        <v>71.37</v>
      </c>
      <c r="J134" s="185">
        <v>11.123999999999999</v>
      </c>
      <c r="K134" s="181">
        <v>48</v>
      </c>
      <c r="P134" s="186">
        <v>194.08619999999999</v>
      </c>
      <c r="Q134" s="186">
        <v>850.91380000000004</v>
      </c>
      <c r="R134" s="183">
        <v>0.23</v>
      </c>
      <c r="S134" s="185">
        <v>-63.6</v>
      </c>
      <c r="T134" s="185">
        <v>132.11017400000003</v>
      </c>
      <c r="U134" s="185">
        <v>84.591380000000015</v>
      </c>
      <c r="V134" s="187">
        <v>145.76017400000003</v>
      </c>
      <c r="X134" s="185">
        <v>1240</v>
      </c>
      <c r="Y134" s="185">
        <v>877.21224600000005</v>
      </c>
      <c r="Z134" s="183">
        <v>0.70742923064516128</v>
      </c>
      <c r="AA134" s="185">
        <v>146.08619999999999</v>
      </c>
      <c r="AB134" s="185">
        <v>132.11017400000003</v>
      </c>
      <c r="AC134" s="185">
        <v>84.591380000000015</v>
      </c>
      <c r="AD134" s="185">
        <v>1240</v>
      </c>
      <c r="AE134" s="186">
        <v>13.400000000000091</v>
      </c>
      <c r="AF134" s="183">
        <v>0.26800000000000179</v>
      </c>
      <c r="AG134" s="186">
        <v>24.369910000000118</v>
      </c>
      <c r="AH134" s="183">
        <v>0.24369910000000117</v>
      </c>
    </row>
    <row r="135" spans="3:34" x14ac:dyDescent="0.25">
      <c r="C135" s="181">
        <v>1250</v>
      </c>
      <c r="D135" s="183">
        <v>0</v>
      </c>
      <c r="E135" s="185">
        <v>195</v>
      </c>
      <c r="F135" s="181">
        <v>195</v>
      </c>
      <c r="G135" s="185">
        <v>1055</v>
      </c>
      <c r="H135" s="185">
        <v>63.592199999999991</v>
      </c>
      <c r="I135" s="185">
        <v>71.37</v>
      </c>
      <c r="J135" s="185">
        <v>11.123999999999999</v>
      </c>
      <c r="K135" s="181">
        <v>48</v>
      </c>
      <c r="P135" s="186">
        <v>194.08619999999999</v>
      </c>
      <c r="Q135" s="186">
        <v>860.91380000000004</v>
      </c>
      <c r="R135" s="183">
        <v>0.23</v>
      </c>
      <c r="S135" s="185">
        <v>-63.6</v>
      </c>
      <c r="T135" s="185">
        <v>134.41017400000001</v>
      </c>
      <c r="U135" s="185">
        <v>85.591380000000015</v>
      </c>
      <c r="V135" s="187">
        <v>148.06017400000002</v>
      </c>
      <c r="X135" s="185">
        <v>1250</v>
      </c>
      <c r="Y135" s="185">
        <v>883.91224599999998</v>
      </c>
      <c r="Z135" s="183">
        <v>0.70712979679999999</v>
      </c>
      <c r="AA135" s="185">
        <v>146.08619999999999</v>
      </c>
      <c r="AB135" s="185">
        <v>134.41017400000001</v>
      </c>
      <c r="AC135" s="185">
        <v>85.591380000000015</v>
      </c>
      <c r="AD135" s="185">
        <v>1250</v>
      </c>
      <c r="AE135" s="186">
        <v>13.399999999999977</v>
      </c>
      <c r="AF135" s="183">
        <v>0.26799999999999957</v>
      </c>
      <c r="AG135" s="186">
        <v>26.800000000000068</v>
      </c>
      <c r="AH135" s="183">
        <v>0.26800000000000068</v>
      </c>
    </row>
    <row r="136" spans="3:34" x14ac:dyDescent="0.25">
      <c r="C136" s="181">
        <v>1260</v>
      </c>
      <c r="D136" s="183">
        <v>0</v>
      </c>
      <c r="E136" s="185">
        <v>195</v>
      </c>
      <c r="F136" s="181">
        <v>195</v>
      </c>
      <c r="G136" s="185">
        <v>1065</v>
      </c>
      <c r="H136" s="185">
        <v>63.592199999999991</v>
      </c>
      <c r="I136" s="185">
        <v>71.37</v>
      </c>
      <c r="J136" s="185">
        <v>11.123999999999999</v>
      </c>
      <c r="K136" s="181">
        <v>48</v>
      </c>
      <c r="P136" s="186">
        <v>194.08619999999999</v>
      </c>
      <c r="Q136" s="186">
        <v>870.91380000000004</v>
      </c>
      <c r="R136" s="183">
        <v>0.23</v>
      </c>
      <c r="S136" s="185">
        <v>-63.6</v>
      </c>
      <c r="T136" s="185">
        <v>136.71017400000002</v>
      </c>
      <c r="U136" s="185">
        <v>86.591380000000015</v>
      </c>
      <c r="V136" s="187">
        <v>150.36017400000003</v>
      </c>
      <c r="X136" s="185">
        <v>1260</v>
      </c>
      <c r="Y136" s="185">
        <v>890.61224599999991</v>
      </c>
      <c r="Z136" s="183">
        <v>0.70683511587301584</v>
      </c>
      <c r="AA136" s="185">
        <v>146.08619999999999</v>
      </c>
      <c r="AB136" s="185">
        <v>136.71017400000002</v>
      </c>
      <c r="AC136" s="185">
        <v>86.591380000000015</v>
      </c>
      <c r="AD136" s="185">
        <v>1260</v>
      </c>
      <c r="AE136" s="186">
        <v>13.399999999999864</v>
      </c>
      <c r="AF136" s="183">
        <v>0.2679999999999973</v>
      </c>
      <c r="AG136" s="186">
        <v>26.799999999999955</v>
      </c>
      <c r="AH136" s="183">
        <v>0.26799999999999957</v>
      </c>
    </row>
    <row r="137" spans="3:34" x14ac:dyDescent="0.25">
      <c r="C137" s="181">
        <v>1270</v>
      </c>
      <c r="D137" s="183">
        <v>0</v>
      </c>
      <c r="E137" s="185">
        <v>195</v>
      </c>
      <c r="F137" s="181">
        <v>195</v>
      </c>
      <c r="G137" s="185">
        <v>1075</v>
      </c>
      <c r="H137" s="185">
        <v>67.296599999999998</v>
      </c>
      <c r="I137" s="185">
        <v>71.37</v>
      </c>
      <c r="J137" s="185">
        <v>11.771999999999998</v>
      </c>
      <c r="K137" s="181">
        <v>48</v>
      </c>
      <c r="P137" s="186">
        <v>198.43860000000001</v>
      </c>
      <c r="Q137" s="186">
        <v>876.56140000000005</v>
      </c>
      <c r="R137" s="183">
        <v>0.23</v>
      </c>
      <c r="S137" s="185">
        <v>-63.6</v>
      </c>
      <c r="T137" s="185">
        <v>138.00912200000002</v>
      </c>
      <c r="U137" s="185">
        <v>87.156140000000008</v>
      </c>
      <c r="V137" s="187">
        <v>151.65912200000002</v>
      </c>
      <c r="X137" s="185">
        <v>1270</v>
      </c>
      <c r="Y137" s="185">
        <v>894.39613800000006</v>
      </c>
      <c r="Z137" s="183">
        <v>0.70424892755905522</v>
      </c>
      <c r="AA137" s="185">
        <v>150.43860000000001</v>
      </c>
      <c r="AB137" s="185">
        <v>138.00912200000002</v>
      </c>
      <c r="AC137" s="185">
        <v>87.156140000000008</v>
      </c>
      <c r="AD137" s="185">
        <v>1270</v>
      </c>
      <c r="AE137" s="186">
        <v>10.483892000000083</v>
      </c>
      <c r="AF137" s="183">
        <v>0.20967784000000164</v>
      </c>
      <c r="AG137" s="186">
        <v>23.88389200000006</v>
      </c>
      <c r="AH137" s="183">
        <v>0.23883892000000059</v>
      </c>
    </row>
    <row r="138" spans="3:34" x14ac:dyDescent="0.25">
      <c r="C138" s="181">
        <v>1280</v>
      </c>
      <c r="D138" s="183">
        <v>0</v>
      </c>
      <c r="E138" s="185">
        <v>195</v>
      </c>
      <c r="F138" s="181">
        <v>195</v>
      </c>
      <c r="G138" s="185">
        <v>1085</v>
      </c>
      <c r="H138" s="185">
        <v>67.296599999999998</v>
      </c>
      <c r="I138" s="185">
        <v>71.37</v>
      </c>
      <c r="J138" s="185">
        <v>11.771999999999998</v>
      </c>
      <c r="K138" s="181">
        <v>48</v>
      </c>
      <c r="P138" s="186">
        <v>198.43860000000001</v>
      </c>
      <c r="Q138" s="186">
        <v>886.56140000000005</v>
      </c>
      <c r="R138" s="183">
        <v>0.23</v>
      </c>
      <c r="S138" s="185">
        <v>-63.6</v>
      </c>
      <c r="T138" s="185">
        <v>140.30912200000003</v>
      </c>
      <c r="U138" s="185">
        <v>88.156140000000008</v>
      </c>
      <c r="V138" s="187">
        <v>153.95912200000004</v>
      </c>
      <c r="X138" s="185">
        <v>1280</v>
      </c>
      <c r="Y138" s="185">
        <v>901.09613799999988</v>
      </c>
      <c r="Z138" s="183">
        <v>0.70398135781249993</v>
      </c>
      <c r="AA138" s="185">
        <v>150.43860000000001</v>
      </c>
      <c r="AB138" s="185">
        <v>140.30912200000003</v>
      </c>
      <c r="AC138" s="185">
        <v>88.156140000000008</v>
      </c>
      <c r="AD138" s="185">
        <v>1280</v>
      </c>
      <c r="AE138" s="186">
        <v>10.483891999999969</v>
      </c>
      <c r="AF138" s="183">
        <v>0.20967783999999937</v>
      </c>
      <c r="AG138" s="186">
        <v>23.883891999999832</v>
      </c>
      <c r="AH138" s="183">
        <v>0.23883891999999832</v>
      </c>
    </row>
    <row r="139" spans="3:34" x14ac:dyDescent="0.25">
      <c r="C139" s="181">
        <v>1290</v>
      </c>
      <c r="D139" s="183">
        <v>0</v>
      </c>
      <c r="E139" s="185">
        <v>195</v>
      </c>
      <c r="F139" s="181">
        <v>195</v>
      </c>
      <c r="G139" s="185">
        <v>1095</v>
      </c>
      <c r="H139" s="185">
        <v>67.296599999999998</v>
      </c>
      <c r="I139" s="185">
        <v>71.37</v>
      </c>
      <c r="J139" s="185">
        <v>11.771999999999998</v>
      </c>
      <c r="K139" s="181">
        <v>48</v>
      </c>
      <c r="P139" s="186">
        <v>198.43860000000001</v>
      </c>
      <c r="Q139" s="186">
        <v>896.56140000000005</v>
      </c>
      <c r="R139" s="183">
        <v>0.23</v>
      </c>
      <c r="S139" s="185">
        <v>-63.6</v>
      </c>
      <c r="T139" s="185">
        <v>142.60912200000001</v>
      </c>
      <c r="U139" s="185">
        <v>89.156140000000008</v>
      </c>
      <c r="V139" s="187">
        <v>156.25912200000002</v>
      </c>
      <c r="X139" s="185">
        <v>1290</v>
      </c>
      <c r="Y139" s="185">
        <v>907.79613799999993</v>
      </c>
      <c r="Z139" s="183">
        <v>0.70371793643410852</v>
      </c>
      <c r="AA139" s="185">
        <v>150.43860000000001</v>
      </c>
      <c r="AB139" s="185">
        <v>142.60912200000001</v>
      </c>
      <c r="AC139" s="185">
        <v>89.156140000000008</v>
      </c>
      <c r="AD139" s="185">
        <v>1290</v>
      </c>
      <c r="AE139" s="186">
        <v>13.399999999999864</v>
      </c>
      <c r="AF139" s="183">
        <v>0.2679999999999973</v>
      </c>
      <c r="AG139" s="186">
        <v>23.883891999999946</v>
      </c>
      <c r="AH139" s="183">
        <v>0.23883891999999945</v>
      </c>
    </row>
    <row r="140" spans="3:34" x14ac:dyDescent="0.25">
      <c r="C140" s="181">
        <v>1300</v>
      </c>
      <c r="D140" s="183">
        <v>0</v>
      </c>
      <c r="E140" s="185">
        <v>195</v>
      </c>
      <c r="F140" s="181">
        <v>195</v>
      </c>
      <c r="G140" s="185">
        <v>1105</v>
      </c>
      <c r="H140" s="185">
        <v>67.296599999999998</v>
      </c>
      <c r="I140" s="185">
        <v>71.37</v>
      </c>
      <c r="J140" s="185">
        <v>11.771999999999998</v>
      </c>
      <c r="K140" s="181">
        <v>48</v>
      </c>
      <c r="P140" s="186">
        <v>198.43860000000001</v>
      </c>
      <c r="Q140" s="186">
        <v>906.56140000000005</v>
      </c>
      <c r="R140" s="183">
        <v>0.33</v>
      </c>
      <c r="S140" s="185">
        <v>-153.6</v>
      </c>
      <c r="T140" s="185">
        <v>145.56526200000005</v>
      </c>
      <c r="U140" s="185">
        <v>90.156140000000008</v>
      </c>
      <c r="V140" s="187">
        <v>159.21526200000005</v>
      </c>
      <c r="X140" s="185">
        <v>1300</v>
      </c>
      <c r="Y140" s="185">
        <v>913.83999799999992</v>
      </c>
      <c r="Z140" s="183">
        <v>0.70295384461538457</v>
      </c>
      <c r="AA140" s="185">
        <v>150.43860000000001</v>
      </c>
      <c r="AB140" s="185">
        <v>145.56526200000005</v>
      </c>
      <c r="AC140" s="185">
        <v>90.156140000000008</v>
      </c>
      <c r="AD140" s="185">
        <v>1300</v>
      </c>
      <c r="AE140" s="186">
        <v>12.743860000000041</v>
      </c>
      <c r="AF140" s="183">
        <v>0.2548772000000008</v>
      </c>
      <c r="AG140" s="186">
        <v>23.22775200000001</v>
      </c>
      <c r="AH140" s="183">
        <v>0.2322775200000001</v>
      </c>
    </row>
    <row r="141" spans="3:34" x14ac:dyDescent="0.25">
      <c r="C141" s="181">
        <v>1310</v>
      </c>
      <c r="D141" s="183">
        <v>0</v>
      </c>
      <c r="E141" s="185">
        <v>195</v>
      </c>
      <c r="F141" s="181">
        <v>195</v>
      </c>
      <c r="G141" s="185">
        <v>1115</v>
      </c>
      <c r="H141" s="185">
        <v>67.296599999999998</v>
      </c>
      <c r="I141" s="185">
        <v>71.37</v>
      </c>
      <c r="J141" s="185">
        <v>11.771999999999998</v>
      </c>
      <c r="K141" s="181">
        <v>48</v>
      </c>
      <c r="P141" s="186">
        <v>198.43860000000001</v>
      </c>
      <c r="Q141" s="186">
        <v>916.56140000000005</v>
      </c>
      <c r="R141" s="183">
        <v>0.33</v>
      </c>
      <c r="S141" s="185">
        <v>-153.6</v>
      </c>
      <c r="T141" s="185">
        <v>148.86526200000006</v>
      </c>
      <c r="U141" s="185">
        <v>91.156140000000008</v>
      </c>
      <c r="V141" s="187">
        <v>162.51526200000006</v>
      </c>
      <c r="X141" s="185">
        <v>1310</v>
      </c>
      <c r="Y141" s="185">
        <v>919.53999799999997</v>
      </c>
      <c r="Z141" s="183">
        <v>0.70193892977099237</v>
      </c>
      <c r="AA141" s="185">
        <v>150.43860000000001</v>
      </c>
      <c r="AB141" s="185">
        <v>148.86526200000006</v>
      </c>
      <c r="AC141" s="185">
        <v>91.156140000000008</v>
      </c>
      <c r="AD141" s="185">
        <v>1310</v>
      </c>
      <c r="AE141" s="186">
        <v>11.743860000000041</v>
      </c>
      <c r="AF141" s="183">
        <v>0.23487720000000081</v>
      </c>
      <c r="AG141" s="186">
        <v>25.143859999999904</v>
      </c>
      <c r="AH141" s="183">
        <v>0.25143859999999907</v>
      </c>
    </row>
    <row r="142" spans="3:34" x14ac:dyDescent="0.25">
      <c r="C142" s="181">
        <v>1320</v>
      </c>
      <c r="D142" s="183">
        <v>0</v>
      </c>
      <c r="E142" s="185">
        <v>195</v>
      </c>
      <c r="F142" s="181">
        <v>195</v>
      </c>
      <c r="G142" s="185">
        <v>1125</v>
      </c>
      <c r="H142" s="185">
        <v>67.296599999999998</v>
      </c>
      <c r="I142" s="185">
        <v>71.37</v>
      </c>
      <c r="J142" s="185">
        <v>11.771999999999998</v>
      </c>
      <c r="K142" s="181">
        <v>48</v>
      </c>
      <c r="P142" s="186">
        <v>198.43860000000001</v>
      </c>
      <c r="Q142" s="186">
        <v>926.56140000000005</v>
      </c>
      <c r="R142" s="183">
        <v>0.33</v>
      </c>
      <c r="S142" s="185">
        <v>-153.6</v>
      </c>
      <c r="T142" s="185">
        <v>152.16526200000001</v>
      </c>
      <c r="U142" s="185">
        <v>92.156140000000008</v>
      </c>
      <c r="V142" s="187">
        <v>165.81526200000002</v>
      </c>
      <c r="X142" s="185">
        <v>1320</v>
      </c>
      <c r="Y142" s="185">
        <v>925.23999800000001</v>
      </c>
      <c r="Z142" s="183">
        <v>0.70093939242424241</v>
      </c>
      <c r="AA142" s="185">
        <v>150.43860000000001</v>
      </c>
      <c r="AB142" s="185">
        <v>152.16526200000001</v>
      </c>
      <c r="AC142" s="185">
        <v>92.156140000000008</v>
      </c>
      <c r="AD142" s="185">
        <v>1320</v>
      </c>
      <c r="AE142" s="186">
        <v>11.400000000000091</v>
      </c>
      <c r="AF142" s="183">
        <v>0.22800000000000181</v>
      </c>
      <c r="AG142" s="186">
        <v>24.143860000000132</v>
      </c>
      <c r="AH142" s="183">
        <v>0.24143860000000131</v>
      </c>
    </row>
    <row r="143" spans="3:34" x14ac:dyDescent="0.25">
      <c r="C143" s="181">
        <v>1330</v>
      </c>
      <c r="D143" s="183">
        <v>0</v>
      </c>
      <c r="E143" s="185">
        <v>195</v>
      </c>
      <c r="F143" s="181">
        <v>195</v>
      </c>
      <c r="G143" s="185">
        <v>1135</v>
      </c>
      <c r="H143" s="185">
        <v>67.296599999999998</v>
      </c>
      <c r="I143" s="185">
        <v>71.37</v>
      </c>
      <c r="J143" s="185">
        <v>11.771999999999998</v>
      </c>
      <c r="K143" s="181">
        <v>48</v>
      </c>
      <c r="P143" s="186">
        <v>198.43860000000001</v>
      </c>
      <c r="Q143" s="186">
        <v>936.56140000000005</v>
      </c>
      <c r="R143" s="183">
        <v>0.33</v>
      </c>
      <c r="S143" s="185">
        <v>-153.6</v>
      </c>
      <c r="T143" s="185">
        <v>155.46526200000002</v>
      </c>
      <c r="U143" s="185">
        <v>93.156140000000008</v>
      </c>
      <c r="V143" s="187">
        <v>169.11526200000003</v>
      </c>
      <c r="X143" s="185">
        <v>1330</v>
      </c>
      <c r="Y143" s="185">
        <v>930.93999800000006</v>
      </c>
      <c r="Z143" s="183">
        <v>0.69995488571428577</v>
      </c>
      <c r="AA143" s="185">
        <v>150.43860000000001</v>
      </c>
      <c r="AB143" s="185">
        <v>155.46526200000002</v>
      </c>
      <c r="AC143" s="185">
        <v>93.156140000000008</v>
      </c>
      <c r="AD143" s="185">
        <v>1330</v>
      </c>
      <c r="AE143" s="186">
        <v>11.400000000000091</v>
      </c>
      <c r="AF143" s="183">
        <v>0.22800000000000181</v>
      </c>
      <c r="AG143" s="186">
        <v>23.143860000000132</v>
      </c>
      <c r="AH143" s="183">
        <v>0.23143860000000133</v>
      </c>
    </row>
    <row r="144" spans="3:34" x14ac:dyDescent="0.25">
      <c r="C144" s="181">
        <v>1340</v>
      </c>
      <c r="D144" s="183">
        <v>0</v>
      </c>
      <c r="E144" s="185">
        <v>195</v>
      </c>
      <c r="F144" s="181">
        <v>195</v>
      </c>
      <c r="G144" s="185">
        <v>1145</v>
      </c>
      <c r="H144" s="185">
        <v>71.000999999999991</v>
      </c>
      <c r="I144" s="185">
        <v>71.37</v>
      </c>
      <c r="J144" s="185">
        <v>12.419999999999998</v>
      </c>
      <c r="K144" s="181">
        <v>48</v>
      </c>
      <c r="P144" s="186">
        <v>202.79099999999997</v>
      </c>
      <c r="Q144" s="186">
        <v>942.20900000000006</v>
      </c>
      <c r="R144" s="183">
        <v>0.33</v>
      </c>
      <c r="S144" s="185">
        <v>-153.6</v>
      </c>
      <c r="T144" s="185">
        <v>157.32897000000006</v>
      </c>
      <c r="U144" s="185">
        <v>93.720900000000015</v>
      </c>
      <c r="V144" s="187">
        <v>170.97897000000006</v>
      </c>
      <c r="X144" s="185">
        <v>1340</v>
      </c>
      <c r="Y144" s="185">
        <v>934.15913</v>
      </c>
      <c r="Z144" s="183">
        <v>0.69713367910447765</v>
      </c>
      <c r="AA144" s="185">
        <v>154.79099999999997</v>
      </c>
      <c r="AB144" s="185">
        <v>157.32897000000006</v>
      </c>
      <c r="AC144" s="185">
        <v>93.720900000000015</v>
      </c>
      <c r="AD144" s="185">
        <v>1340</v>
      </c>
      <c r="AE144" s="186">
        <v>8.9191319999999905</v>
      </c>
      <c r="AF144" s="183">
        <v>0.17838263999999981</v>
      </c>
      <c r="AG144" s="186">
        <v>20.319132000000081</v>
      </c>
      <c r="AH144" s="183">
        <v>0.20319132000000081</v>
      </c>
    </row>
    <row r="145" spans="3:34" x14ac:dyDescent="0.25">
      <c r="C145" s="181">
        <v>1350</v>
      </c>
      <c r="D145" s="183">
        <v>0</v>
      </c>
      <c r="E145" s="185">
        <v>195</v>
      </c>
      <c r="F145" s="181">
        <v>195</v>
      </c>
      <c r="G145" s="185">
        <v>1155</v>
      </c>
      <c r="H145" s="185">
        <v>71.000999999999991</v>
      </c>
      <c r="I145" s="185">
        <v>71.37</v>
      </c>
      <c r="J145" s="185">
        <v>12.419999999999998</v>
      </c>
      <c r="K145" s="181">
        <v>48</v>
      </c>
      <c r="P145" s="186">
        <v>202.79099999999997</v>
      </c>
      <c r="Q145" s="186">
        <v>952.20900000000006</v>
      </c>
      <c r="R145" s="183">
        <v>0.33</v>
      </c>
      <c r="S145" s="185">
        <v>-153.6</v>
      </c>
      <c r="T145" s="185">
        <v>160.62897000000007</v>
      </c>
      <c r="U145" s="185">
        <v>94.720900000000015</v>
      </c>
      <c r="V145" s="187">
        <v>174.27897000000007</v>
      </c>
      <c r="X145" s="185">
        <v>1350</v>
      </c>
      <c r="Y145" s="185">
        <v>939.85912999999994</v>
      </c>
      <c r="Z145" s="183">
        <v>0.69619194814814811</v>
      </c>
      <c r="AA145" s="185">
        <v>154.79099999999997</v>
      </c>
      <c r="AB145" s="185">
        <v>160.62897000000007</v>
      </c>
      <c r="AC145" s="185">
        <v>94.720900000000015</v>
      </c>
      <c r="AD145" s="185">
        <v>1350</v>
      </c>
      <c r="AE145" s="186">
        <v>8.9191319999998768</v>
      </c>
      <c r="AF145" s="183">
        <v>0.17838263999999754</v>
      </c>
      <c r="AG145" s="186">
        <v>20.319131999999968</v>
      </c>
      <c r="AH145" s="183">
        <v>0.20319131999999968</v>
      </c>
    </row>
    <row r="146" spans="3:34" x14ac:dyDescent="0.25">
      <c r="C146" s="181">
        <v>1360</v>
      </c>
      <c r="D146" s="183">
        <v>0</v>
      </c>
      <c r="E146" s="185">
        <v>195</v>
      </c>
      <c r="F146" s="181">
        <v>195</v>
      </c>
      <c r="G146" s="185">
        <v>1165</v>
      </c>
      <c r="H146" s="185">
        <v>71.000999999999991</v>
      </c>
      <c r="I146" s="185">
        <v>71.37</v>
      </c>
      <c r="J146" s="185">
        <v>12.419999999999998</v>
      </c>
      <c r="K146" s="181">
        <v>48</v>
      </c>
      <c r="P146" s="186">
        <v>202.79099999999997</v>
      </c>
      <c r="Q146" s="186">
        <v>962.20900000000006</v>
      </c>
      <c r="R146" s="183">
        <v>0.33</v>
      </c>
      <c r="S146" s="185">
        <v>-153.6</v>
      </c>
      <c r="T146" s="185">
        <v>163.92897000000002</v>
      </c>
      <c r="U146" s="185">
        <v>95.720900000000015</v>
      </c>
      <c r="V146" s="187">
        <v>177.57897000000003</v>
      </c>
      <c r="X146" s="185">
        <v>1360</v>
      </c>
      <c r="Y146" s="185">
        <v>945.55912999999998</v>
      </c>
      <c r="Z146" s="183">
        <v>0.69526406617647063</v>
      </c>
      <c r="AA146" s="185">
        <v>154.79099999999997</v>
      </c>
      <c r="AB146" s="185">
        <v>163.92897000000002</v>
      </c>
      <c r="AC146" s="185">
        <v>95.720900000000015</v>
      </c>
      <c r="AD146" s="185">
        <v>1360</v>
      </c>
      <c r="AE146" s="186">
        <v>11.399999999999977</v>
      </c>
      <c r="AF146" s="183">
        <v>0.22799999999999954</v>
      </c>
      <c r="AG146" s="186">
        <v>20.319131999999968</v>
      </c>
      <c r="AH146" s="183">
        <v>0.20319131999999968</v>
      </c>
    </row>
    <row r="147" spans="3:34" x14ac:dyDescent="0.25">
      <c r="C147" s="181">
        <v>1370</v>
      </c>
      <c r="D147" s="183">
        <v>0</v>
      </c>
      <c r="E147" s="185">
        <v>195</v>
      </c>
      <c r="F147" s="181">
        <v>195</v>
      </c>
      <c r="G147" s="185">
        <v>1175</v>
      </c>
      <c r="H147" s="185">
        <v>71.000999999999991</v>
      </c>
      <c r="I147" s="185">
        <v>71.37</v>
      </c>
      <c r="J147" s="185">
        <v>12.419999999999998</v>
      </c>
      <c r="K147" s="181">
        <v>48</v>
      </c>
      <c r="P147" s="186">
        <v>202.79099999999997</v>
      </c>
      <c r="Q147" s="186">
        <v>972.20900000000006</v>
      </c>
      <c r="R147" s="183">
        <v>0.33</v>
      </c>
      <c r="S147" s="185">
        <v>-153.6</v>
      </c>
      <c r="T147" s="185">
        <v>167.22897000000003</v>
      </c>
      <c r="U147" s="185">
        <v>96.720900000000015</v>
      </c>
      <c r="V147" s="187">
        <v>180.87897000000004</v>
      </c>
      <c r="X147" s="185">
        <v>1370</v>
      </c>
      <c r="Y147" s="185">
        <v>951.25912999999991</v>
      </c>
      <c r="Z147" s="183">
        <v>0.69434972992700728</v>
      </c>
      <c r="AA147" s="185">
        <v>154.79099999999997</v>
      </c>
      <c r="AB147" s="185">
        <v>167.22897000000003</v>
      </c>
      <c r="AC147" s="185">
        <v>96.720900000000015</v>
      </c>
      <c r="AD147" s="185">
        <v>1370</v>
      </c>
      <c r="AE147" s="186">
        <v>11.399999999999977</v>
      </c>
      <c r="AF147" s="183">
        <v>0.22799999999999954</v>
      </c>
      <c r="AG147" s="186">
        <v>20.319131999999854</v>
      </c>
      <c r="AH147" s="183">
        <v>0.20319131999999854</v>
      </c>
    </row>
    <row r="148" spans="3:34" x14ac:dyDescent="0.25">
      <c r="C148" s="181">
        <v>1380</v>
      </c>
      <c r="D148" s="183">
        <v>0</v>
      </c>
      <c r="E148" s="185">
        <v>195</v>
      </c>
      <c r="F148" s="181">
        <v>195</v>
      </c>
      <c r="G148" s="185">
        <v>1185</v>
      </c>
      <c r="H148" s="185">
        <v>71.000999999999991</v>
      </c>
      <c r="I148" s="185">
        <v>71.37</v>
      </c>
      <c r="J148" s="185">
        <v>12.419999999999998</v>
      </c>
      <c r="K148" s="181">
        <v>48</v>
      </c>
      <c r="P148" s="186">
        <v>202.79099999999997</v>
      </c>
      <c r="Q148" s="186">
        <v>982.20900000000006</v>
      </c>
      <c r="R148" s="183">
        <v>0.33</v>
      </c>
      <c r="S148" s="185">
        <v>-153.6</v>
      </c>
      <c r="T148" s="185">
        <v>170.52897000000004</v>
      </c>
      <c r="U148" s="185">
        <v>97.720900000000015</v>
      </c>
      <c r="V148" s="187">
        <v>184.17897000000005</v>
      </c>
      <c r="X148" s="185">
        <v>1380</v>
      </c>
      <c r="Y148" s="185">
        <v>956.95912999999996</v>
      </c>
      <c r="Z148" s="183">
        <v>0.69344864492753622</v>
      </c>
      <c r="AA148" s="185">
        <v>154.79099999999997</v>
      </c>
      <c r="AB148" s="185">
        <v>170.52897000000004</v>
      </c>
      <c r="AC148" s="185">
        <v>97.720900000000015</v>
      </c>
      <c r="AD148" s="185">
        <v>1380</v>
      </c>
      <c r="AE148" s="186">
        <v>11.399999999999977</v>
      </c>
      <c r="AF148" s="183">
        <v>0.22799999999999954</v>
      </c>
      <c r="AG148" s="186">
        <v>22.799999999999955</v>
      </c>
      <c r="AH148" s="183">
        <v>0.22799999999999954</v>
      </c>
    </row>
    <row r="149" spans="3:34" x14ac:dyDescent="0.25">
      <c r="C149" s="181">
        <v>1390</v>
      </c>
      <c r="D149" s="183">
        <v>0</v>
      </c>
      <c r="E149" s="185">
        <v>195</v>
      </c>
      <c r="F149" s="181">
        <v>195</v>
      </c>
      <c r="G149" s="185">
        <v>1195</v>
      </c>
      <c r="H149" s="185">
        <v>71.000999999999991</v>
      </c>
      <c r="I149" s="185">
        <v>71.37</v>
      </c>
      <c r="J149" s="185">
        <v>12.419999999999998</v>
      </c>
      <c r="K149" s="181">
        <v>48</v>
      </c>
      <c r="P149" s="186">
        <v>202.79099999999997</v>
      </c>
      <c r="Q149" s="186">
        <v>992.20900000000006</v>
      </c>
      <c r="R149" s="183">
        <v>0.33</v>
      </c>
      <c r="S149" s="185">
        <v>-153.6</v>
      </c>
      <c r="T149" s="185">
        <v>173.82897000000006</v>
      </c>
      <c r="U149" s="185">
        <v>98.720900000000015</v>
      </c>
      <c r="V149" s="187">
        <v>187.47897000000006</v>
      </c>
      <c r="X149" s="185">
        <v>1390</v>
      </c>
      <c r="Y149" s="185">
        <v>962.65913</v>
      </c>
      <c r="Z149" s="183">
        <v>0.69256052517985611</v>
      </c>
      <c r="AA149" s="185">
        <v>154.79099999999997</v>
      </c>
      <c r="AB149" s="185">
        <v>173.82897000000006</v>
      </c>
      <c r="AC149" s="185">
        <v>98.720900000000015</v>
      </c>
      <c r="AD149" s="185">
        <v>1390</v>
      </c>
      <c r="AE149" s="186">
        <v>11.400000000000091</v>
      </c>
      <c r="AF149" s="183">
        <v>0.22800000000000181</v>
      </c>
      <c r="AG149" s="186">
        <v>22.800000000000068</v>
      </c>
      <c r="AH149" s="183">
        <v>0.22800000000000067</v>
      </c>
    </row>
    <row r="150" spans="3:34" x14ac:dyDescent="0.25">
      <c r="C150" s="181">
        <v>1400</v>
      </c>
      <c r="D150" s="183">
        <v>0</v>
      </c>
      <c r="E150" s="185">
        <v>195</v>
      </c>
      <c r="F150" s="181">
        <v>195</v>
      </c>
      <c r="G150" s="185">
        <v>1205</v>
      </c>
      <c r="H150" s="185">
        <v>71.000999999999991</v>
      </c>
      <c r="I150" s="185">
        <v>71.37</v>
      </c>
      <c r="J150" s="185">
        <v>12.419999999999998</v>
      </c>
      <c r="K150" s="181">
        <v>48</v>
      </c>
      <c r="P150" s="186">
        <v>202.79099999999997</v>
      </c>
      <c r="Q150" s="186">
        <v>1002.2090000000001</v>
      </c>
      <c r="R150" s="183">
        <v>0.33</v>
      </c>
      <c r="S150" s="185">
        <v>-153.6</v>
      </c>
      <c r="T150" s="185">
        <v>177.12897000000007</v>
      </c>
      <c r="U150" s="185">
        <v>99.720900000000015</v>
      </c>
      <c r="V150" s="187">
        <v>190.77897000000007</v>
      </c>
      <c r="X150" s="185">
        <v>1400</v>
      </c>
      <c r="Y150" s="185">
        <v>968.35912999999994</v>
      </c>
      <c r="Z150" s="183">
        <v>0.69168509285714286</v>
      </c>
      <c r="AA150" s="185">
        <v>154.79099999999997</v>
      </c>
      <c r="AB150" s="185">
        <v>177.12897000000007</v>
      </c>
      <c r="AC150" s="185">
        <v>99.720900000000015</v>
      </c>
      <c r="AD150" s="185">
        <v>1400</v>
      </c>
      <c r="AE150" s="186">
        <v>11.399999999999977</v>
      </c>
      <c r="AF150" s="183">
        <v>0.22799999999999954</v>
      </c>
      <c r="AG150" s="186">
        <v>22.799999999999955</v>
      </c>
      <c r="AH150" s="183">
        <v>0.22799999999999954</v>
      </c>
    </row>
    <row r="151" spans="3:34" x14ac:dyDescent="0.25">
      <c r="C151" s="181">
        <v>1410</v>
      </c>
      <c r="D151" s="183">
        <v>0</v>
      </c>
      <c r="E151" s="185">
        <v>195</v>
      </c>
      <c r="F151" s="181">
        <v>195</v>
      </c>
      <c r="G151" s="185">
        <v>1215</v>
      </c>
      <c r="H151" s="185">
        <v>74.705399999999997</v>
      </c>
      <c r="I151" s="185">
        <v>71.37</v>
      </c>
      <c r="J151" s="185">
        <v>13.068</v>
      </c>
      <c r="K151" s="181">
        <v>48</v>
      </c>
      <c r="P151" s="186">
        <v>207.14340000000001</v>
      </c>
      <c r="Q151" s="186">
        <v>1007.8566</v>
      </c>
      <c r="R151" s="183">
        <v>0.33</v>
      </c>
      <c r="S151" s="185">
        <v>-153.6</v>
      </c>
      <c r="T151" s="185">
        <v>178.99267799999998</v>
      </c>
      <c r="U151" s="185">
        <v>100.28566000000001</v>
      </c>
      <c r="V151" s="187">
        <v>192.64267799999999</v>
      </c>
      <c r="X151" s="185">
        <v>1410</v>
      </c>
      <c r="Y151" s="185">
        <v>971.578262</v>
      </c>
      <c r="Z151" s="183">
        <v>0.68906259716312057</v>
      </c>
      <c r="AA151" s="185">
        <v>159.14340000000001</v>
      </c>
      <c r="AB151" s="185">
        <v>178.99267799999998</v>
      </c>
      <c r="AC151" s="185">
        <v>100.28566000000001</v>
      </c>
      <c r="AD151" s="185">
        <v>1410</v>
      </c>
      <c r="AE151" s="186">
        <v>8.9191319999999905</v>
      </c>
      <c r="AF151" s="183">
        <v>0.17838263999999981</v>
      </c>
      <c r="AG151" s="186">
        <v>20.319132000000081</v>
      </c>
      <c r="AH151" s="183">
        <v>0.20319132000000081</v>
      </c>
    </row>
    <row r="152" spans="3:34" x14ac:dyDescent="0.25">
      <c r="C152" s="181">
        <v>1420</v>
      </c>
      <c r="D152" s="183">
        <v>0</v>
      </c>
      <c r="E152" s="185">
        <v>195</v>
      </c>
      <c r="F152" s="181">
        <v>195</v>
      </c>
      <c r="G152" s="185">
        <v>1225</v>
      </c>
      <c r="H152" s="185">
        <v>74.705399999999997</v>
      </c>
      <c r="I152" s="185">
        <v>71.37</v>
      </c>
      <c r="J152" s="185">
        <v>13.068</v>
      </c>
      <c r="K152" s="181">
        <v>48</v>
      </c>
      <c r="P152" s="186">
        <v>207.14340000000001</v>
      </c>
      <c r="Q152" s="186">
        <v>1017.8566</v>
      </c>
      <c r="R152" s="183">
        <v>0.33</v>
      </c>
      <c r="S152" s="185">
        <v>-153.6</v>
      </c>
      <c r="T152" s="185">
        <v>182.292678</v>
      </c>
      <c r="U152" s="185">
        <v>101.28566000000001</v>
      </c>
      <c r="V152" s="187">
        <v>195.942678</v>
      </c>
      <c r="X152" s="185">
        <v>1420</v>
      </c>
      <c r="Y152" s="185">
        <v>977.27826200000004</v>
      </c>
      <c r="Z152" s="183">
        <v>0.68822412816901413</v>
      </c>
      <c r="AA152" s="185">
        <v>159.14340000000001</v>
      </c>
      <c r="AB152" s="185">
        <v>182.292678</v>
      </c>
      <c r="AC152" s="185">
        <v>101.28566000000001</v>
      </c>
      <c r="AD152" s="185">
        <v>1420</v>
      </c>
      <c r="AE152" s="186">
        <v>8.9191320000001042</v>
      </c>
      <c r="AF152" s="183">
        <v>0.17838264000000209</v>
      </c>
      <c r="AG152" s="186">
        <v>20.319132000000081</v>
      </c>
      <c r="AH152" s="183">
        <v>0.20319132000000081</v>
      </c>
    </row>
    <row r="153" spans="3:34" x14ac:dyDescent="0.25">
      <c r="C153" s="181">
        <v>1430</v>
      </c>
      <c r="D153" s="183">
        <v>0</v>
      </c>
      <c r="E153" s="185">
        <v>195</v>
      </c>
      <c r="F153" s="181">
        <v>195</v>
      </c>
      <c r="G153" s="185">
        <v>1235</v>
      </c>
      <c r="H153" s="185">
        <v>74.705399999999997</v>
      </c>
      <c r="I153" s="185">
        <v>71.37</v>
      </c>
      <c r="J153" s="185">
        <v>13.068</v>
      </c>
      <c r="K153" s="181">
        <v>48</v>
      </c>
      <c r="P153" s="186">
        <v>207.14340000000001</v>
      </c>
      <c r="Q153" s="186">
        <v>1027.8566000000001</v>
      </c>
      <c r="R153" s="183">
        <v>0.33</v>
      </c>
      <c r="S153" s="185">
        <v>-153.6</v>
      </c>
      <c r="T153" s="185">
        <v>185.59267800000006</v>
      </c>
      <c r="U153" s="185">
        <v>102.28566000000001</v>
      </c>
      <c r="V153" s="187">
        <v>199.24267800000007</v>
      </c>
      <c r="X153" s="185">
        <v>1430</v>
      </c>
      <c r="Y153" s="185">
        <v>982.97826199999986</v>
      </c>
      <c r="Z153" s="183">
        <v>0.68739738601398592</v>
      </c>
      <c r="AA153" s="185">
        <v>159.14340000000001</v>
      </c>
      <c r="AB153" s="185">
        <v>185.59267800000006</v>
      </c>
      <c r="AC153" s="185">
        <v>102.28566000000001</v>
      </c>
      <c r="AD153" s="185">
        <v>1430</v>
      </c>
      <c r="AE153" s="186">
        <v>11.399999999999864</v>
      </c>
      <c r="AF153" s="183">
        <v>0.22799999999999726</v>
      </c>
      <c r="AG153" s="186">
        <v>20.319131999999854</v>
      </c>
      <c r="AH153" s="183">
        <v>0.20319131999999854</v>
      </c>
    </row>
    <row r="154" spans="3:34" x14ac:dyDescent="0.25">
      <c r="C154" s="181">
        <v>1440</v>
      </c>
      <c r="D154" s="183">
        <v>0</v>
      </c>
      <c r="E154" s="185">
        <v>195</v>
      </c>
      <c r="F154" s="181">
        <v>195</v>
      </c>
      <c r="G154" s="185">
        <v>1245</v>
      </c>
      <c r="H154" s="185">
        <v>74.705399999999997</v>
      </c>
      <c r="I154" s="185">
        <v>71.37</v>
      </c>
      <c r="J154" s="185">
        <v>13.068</v>
      </c>
      <c r="K154" s="181">
        <v>48</v>
      </c>
      <c r="P154" s="186">
        <v>207.14340000000001</v>
      </c>
      <c r="Q154" s="186">
        <v>1037.8566000000001</v>
      </c>
      <c r="R154" s="183">
        <v>0.33</v>
      </c>
      <c r="S154" s="185">
        <v>-153.6</v>
      </c>
      <c r="T154" s="185">
        <v>188.89267800000002</v>
      </c>
      <c r="U154" s="185">
        <v>103.28566000000001</v>
      </c>
      <c r="V154" s="187">
        <v>202.54267800000002</v>
      </c>
      <c r="X154" s="185">
        <v>1440</v>
      </c>
      <c r="Y154" s="185">
        <v>988.6782619999999</v>
      </c>
      <c r="Z154" s="183">
        <v>0.68658212638888882</v>
      </c>
      <c r="AA154" s="185">
        <v>159.14340000000001</v>
      </c>
      <c r="AB154" s="185">
        <v>188.89267800000002</v>
      </c>
      <c r="AC154" s="185">
        <v>103.28566000000001</v>
      </c>
      <c r="AD154" s="185">
        <v>1440</v>
      </c>
      <c r="AE154" s="186">
        <v>11.399999999999864</v>
      </c>
      <c r="AF154" s="183">
        <v>0.22799999999999726</v>
      </c>
      <c r="AG154" s="186">
        <v>20.319131999999968</v>
      </c>
      <c r="AH154" s="183">
        <v>0.20319131999999968</v>
      </c>
    </row>
    <row r="155" spans="3:34" x14ac:dyDescent="0.25">
      <c r="C155" s="181">
        <v>1450</v>
      </c>
      <c r="D155" s="183">
        <v>0</v>
      </c>
      <c r="E155" s="185">
        <v>195</v>
      </c>
      <c r="F155" s="181">
        <v>195</v>
      </c>
      <c r="G155" s="185">
        <v>1255</v>
      </c>
      <c r="H155" s="185">
        <v>74.705399999999997</v>
      </c>
      <c r="I155" s="185">
        <v>71.37</v>
      </c>
      <c r="J155" s="185">
        <v>13.068</v>
      </c>
      <c r="K155" s="181">
        <v>48</v>
      </c>
      <c r="P155" s="186">
        <v>207.14340000000001</v>
      </c>
      <c r="Q155" s="186">
        <v>1047.8566000000001</v>
      </c>
      <c r="R155" s="183">
        <v>0.33</v>
      </c>
      <c r="S155" s="185">
        <v>-153.6</v>
      </c>
      <c r="T155" s="185">
        <v>192.19267800000003</v>
      </c>
      <c r="U155" s="185">
        <v>104.28566000000001</v>
      </c>
      <c r="V155" s="187">
        <v>205.84267800000003</v>
      </c>
      <c r="X155" s="185">
        <v>1450</v>
      </c>
      <c r="Y155" s="185">
        <v>994.37826199999995</v>
      </c>
      <c r="Z155" s="183">
        <v>0.68577811172413794</v>
      </c>
      <c r="AA155" s="185">
        <v>159.14340000000001</v>
      </c>
      <c r="AB155" s="185">
        <v>192.19267800000003</v>
      </c>
      <c r="AC155" s="185">
        <v>104.28566000000001</v>
      </c>
      <c r="AD155" s="185">
        <v>1450</v>
      </c>
      <c r="AE155" s="186">
        <v>11.400000000000091</v>
      </c>
      <c r="AF155" s="183">
        <v>0.22800000000000181</v>
      </c>
      <c r="AG155" s="186">
        <v>22.799999999999955</v>
      </c>
      <c r="AH155" s="183">
        <v>0.22799999999999954</v>
      </c>
    </row>
    <row r="156" spans="3:34" x14ac:dyDescent="0.25">
      <c r="C156" s="181">
        <v>1460</v>
      </c>
      <c r="D156" s="183">
        <v>0</v>
      </c>
      <c r="E156" s="185">
        <v>195</v>
      </c>
      <c r="F156" s="181">
        <v>195</v>
      </c>
      <c r="G156" s="185">
        <v>1265</v>
      </c>
      <c r="H156" s="185">
        <v>74.705399999999997</v>
      </c>
      <c r="I156" s="185">
        <v>71.37</v>
      </c>
      <c r="J156" s="185">
        <v>13.068</v>
      </c>
      <c r="K156" s="181">
        <v>48</v>
      </c>
      <c r="P156" s="186">
        <v>207.14340000000001</v>
      </c>
      <c r="Q156" s="186">
        <v>1057.8566000000001</v>
      </c>
      <c r="R156" s="183">
        <v>0.33</v>
      </c>
      <c r="S156" s="185">
        <v>-153.6</v>
      </c>
      <c r="T156" s="185">
        <v>195.49267800000004</v>
      </c>
      <c r="U156" s="185">
        <v>105.28566000000001</v>
      </c>
      <c r="V156" s="187">
        <v>209.14267800000005</v>
      </c>
      <c r="X156" s="185">
        <v>1460</v>
      </c>
      <c r="Y156" s="185">
        <v>1000.078262</v>
      </c>
      <c r="Z156" s="183">
        <v>0.68498511095890413</v>
      </c>
      <c r="AA156" s="185">
        <v>159.14340000000001</v>
      </c>
      <c r="AB156" s="185">
        <v>195.49267800000004</v>
      </c>
      <c r="AC156" s="185">
        <v>105.28566000000001</v>
      </c>
      <c r="AD156" s="185">
        <v>1460</v>
      </c>
      <c r="AE156" s="186">
        <v>11.400000000000091</v>
      </c>
      <c r="AF156" s="183">
        <v>0.22800000000000181</v>
      </c>
      <c r="AG156" s="186">
        <v>22.799999999999955</v>
      </c>
      <c r="AH156" s="183">
        <v>0.22799999999999954</v>
      </c>
    </row>
    <row r="157" spans="3:34" x14ac:dyDescent="0.25">
      <c r="C157" s="181">
        <v>1470</v>
      </c>
      <c r="D157" s="183">
        <v>0</v>
      </c>
      <c r="E157" s="185">
        <v>195</v>
      </c>
      <c r="F157" s="181">
        <v>195</v>
      </c>
      <c r="G157" s="185">
        <v>1275</v>
      </c>
      <c r="H157" s="185">
        <v>74.705399999999997</v>
      </c>
      <c r="I157" s="185">
        <v>71.37</v>
      </c>
      <c r="J157" s="185">
        <v>13.068</v>
      </c>
      <c r="K157" s="181">
        <v>48</v>
      </c>
      <c r="P157" s="186">
        <v>207.14340000000001</v>
      </c>
      <c r="Q157" s="186">
        <v>1067.8566000000001</v>
      </c>
      <c r="R157" s="183">
        <v>0.33</v>
      </c>
      <c r="S157" s="185">
        <v>-153.6</v>
      </c>
      <c r="T157" s="185">
        <v>198.79267800000005</v>
      </c>
      <c r="U157" s="185">
        <v>106.28566000000001</v>
      </c>
      <c r="V157" s="187">
        <v>212.44267800000006</v>
      </c>
      <c r="X157" s="185">
        <v>1470</v>
      </c>
      <c r="Y157" s="185">
        <v>1005.7782619999999</v>
      </c>
      <c r="Z157" s="183">
        <v>0.68420289931972789</v>
      </c>
      <c r="AA157" s="185">
        <v>159.14340000000001</v>
      </c>
      <c r="AB157" s="185">
        <v>198.79267800000005</v>
      </c>
      <c r="AC157" s="185">
        <v>106.28566000000001</v>
      </c>
      <c r="AD157" s="185">
        <v>1470</v>
      </c>
      <c r="AE157" s="186">
        <v>11.399999999999977</v>
      </c>
      <c r="AF157" s="183">
        <v>0.22799999999999954</v>
      </c>
      <c r="AG157" s="186">
        <v>22.800000000000068</v>
      </c>
      <c r="AH157" s="183">
        <v>0.22800000000000067</v>
      </c>
    </row>
    <row r="158" spans="3:34" x14ac:dyDescent="0.25">
      <c r="C158" s="181">
        <v>1480</v>
      </c>
      <c r="D158" s="183">
        <v>0</v>
      </c>
      <c r="E158" s="185">
        <v>195</v>
      </c>
      <c r="F158" s="181">
        <v>195</v>
      </c>
      <c r="G158" s="185">
        <v>1285</v>
      </c>
      <c r="H158" s="185">
        <v>74.705399999999997</v>
      </c>
      <c r="I158" s="185">
        <v>71.37</v>
      </c>
      <c r="J158" s="185">
        <v>13.068</v>
      </c>
      <c r="K158" s="181">
        <v>48</v>
      </c>
      <c r="P158" s="186">
        <v>207.14340000000001</v>
      </c>
      <c r="Q158" s="186">
        <v>1077.8566000000001</v>
      </c>
      <c r="R158" s="183">
        <v>0.33</v>
      </c>
      <c r="S158" s="185">
        <v>-153.6</v>
      </c>
      <c r="T158" s="185">
        <v>202.09267800000006</v>
      </c>
      <c r="U158" s="185">
        <v>107.28566000000001</v>
      </c>
      <c r="V158" s="187">
        <v>215.74267800000007</v>
      </c>
      <c r="X158" s="185">
        <v>1480</v>
      </c>
      <c r="Y158" s="185">
        <v>1011.4782619999999</v>
      </c>
      <c r="Z158" s="183">
        <v>0.68343125810810801</v>
      </c>
      <c r="AA158" s="185">
        <v>159.14340000000001</v>
      </c>
      <c r="AB158" s="185">
        <v>202.09267800000006</v>
      </c>
      <c r="AC158" s="185">
        <v>107.28566000000001</v>
      </c>
      <c r="AD158" s="185">
        <v>1480</v>
      </c>
      <c r="AE158" s="186">
        <v>11.399999999999864</v>
      </c>
      <c r="AF158" s="183">
        <v>0.22799999999999726</v>
      </c>
      <c r="AG158" s="186">
        <v>22.799999999999955</v>
      </c>
      <c r="AH158" s="183">
        <v>0.22799999999999954</v>
      </c>
    </row>
    <row r="159" spans="3:34" x14ac:dyDescent="0.25">
      <c r="C159" s="181">
        <v>1490</v>
      </c>
      <c r="D159" s="183">
        <v>0</v>
      </c>
      <c r="E159" s="185">
        <v>195</v>
      </c>
      <c r="F159" s="181">
        <v>195</v>
      </c>
      <c r="G159" s="185">
        <v>1295</v>
      </c>
      <c r="H159" s="185">
        <v>78.40979999999999</v>
      </c>
      <c r="I159" s="185">
        <v>71.37</v>
      </c>
      <c r="J159" s="185">
        <v>13.716000000000001</v>
      </c>
      <c r="K159" s="181">
        <v>48</v>
      </c>
      <c r="P159" s="186">
        <v>211.4958</v>
      </c>
      <c r="Q159" s="186">
        <v>1083.5042000000001</v>
      </c>
      <c r="R159" s="183">
        <v>0.33</v>
      </c>
      <c r="S159" s="185">
        <v>-153.6</v>
      </c>
      <c r="T159" s="185">
        <v>203.95638600000004</v>
      </c>
      <c r="U159" s="185">
        <v>107.85042000000001</v>
      </c>
      <c r="V159" s="187">
        <v>217.60638600000004</v>
      </c>
      <c r="X159" s="185">
        <v>1490</v>
      </c>
      <c r="Y159" s="185">
        <v>1014.6973939999999</v>
      </c>
      <c r="Z159" s="183">
        <v>0.68100496241610731</v>
      </c>
      <c r="AA159" s="185">
        <v>163.4958</v>
      </c>
      <c r="AB159" s="185">
        <v>203.95638600000004</v>
      </c>
      <c r="AC159" s="185">
        <v>107.85042000000001</v>
      </c>
      <c r="AD159" s="185">
        <v>1490</v>
      </c>
      <c r="AE159" s="186">
        <v>8.9191319999999905</v>
      </c>
      <c r="AF159" s="183">
        <v>0.17838263999999981</v>
      </c>
      <c r="AG159" s="186">
        <v>20.319131999999968</v>
      </c>
      <c r="AH159" s="183">
        <v>0.20319131999999968</v>
      </c>
    </row>
    <row r="160" spans="3:34" x14ac:dyDescent="0.25">
      <c r="C160" s="181">
        <v>1500</v>
      </c>
      <c r="D160" s="183">
        <v>0</v>
      </c>
      <c r="E160" s="185">
        <v>195</v>
      </c>
      <c r="F160" s="181">
        <v>195</v>
      </c>
      <c r="G160" s="185">
        <v>1305</v>
      </c>
      <c r="H160" s="185">
        <v>78.40979999999999</v>
      </c>
      <c r="I160" s="185">
        <v>71.37</v>
      </c>
      <c r="J160" s="185">
        <v>13.716000000000001</v>
      </c>
      <c r="K160" s="181">
        <v>48</v>
      </c>
      <c r="P160" s="186">
        <v>211.4958</v>
      </c>
      <c r="Q160" s="186">
        <v>1093.5042000000001</v>
      </c>
      <c r="R160" s="183">
        <v>0.33</v>
      </c>
      <c r="S160" s="185">
        <v>-153.6</v>
      </c>
      <c r="T160" s="185">
        <v>207.25638600000005</v>
      </c>
      <c r="U160" s="185">
        <v>108.85042000000001</v>
      </c>
      <c r="V160" s="187">
        <v>220.90638600000005</v>
      </c>
      <c r="X160" s="185">
        <v>1500</v>
      </c>
      <c r="Y160" s="185">
        <v>1020.397394</v>
      </c>
      <c r="Z160" s="183">
        <v>0.68026492933333327</v>
      </c>
      <c r="AA160" s="185">
        <v>163.4958</v>
      </c>
      <c r="AB160" s="185">
        <v>207.25638600000005</v>
      </c>
      <c r="AC160" s="185">
        <v>108.85042000000001</v>
      </c>
      <c r="AD160" s="185">
        <v>1500</v>
      </c>
      <c r="AE160" s="186">
        <v>8.9191320000001042</v>
      </c>
      <c r="AF160" s="183">
        <v>0.17838264000000209</v>
      </c>
      <c r="AG160" s="186">
        <v>20.319131999999968</v>
      </c>
      <c r="AH160" s="183">
        <v>0.20319131999999968</v>
      </c>
    </row>
    <row r="161" spans="3:34" x14ac:dyDescent="0.25">
      <c r="C161" s="181">
        <v>1510</v>
      </c>
      <c r="D161" s="183">
        <v>0</v>
      </c>
      <c r="E161" s="185">
        <v>195</v>
      </c>
      <c r="F161" s="181">
        <v>195</v>
      </c>
      <c r="G161" s="185">
        <v>1315</v>
      </c>
      <c r="H161" s="185">
        <v>78.40979999999999</v>
      </c>
      <c r="I161" s="185">
        <v>71.37</v>
      </c>
      <c r="J161" s="185">
        <v>13.716000000000001</v>
      </c>
      <c r="K161" s="181">
        <v>48</v>
      </c>
      <c r="P161" s="186">
        <v>211.4958</v>
      </c>
      <c r="Q161" s="186">
        <v>1103.5042000000001</v>
      </c>
      <c r="R161" s="183">
        <v>0.33</v>
      </c>
      <c r="S161" s="185">
        <v>-153.6</v>
      </c>
      <c r="T161" s="185">
        <v>210.55638600000006</v>
      </c>
      <c r="U161" s="185">
        <v>109.85042000000001</v>
      </c>
      <c r="V161" s="187">
        <v>224.20638600000007</v>
      </c>
      <c r="X161" s="185">
        <v>1510</v>
      </c>
      <c r="Y161" s="185">
        <v>1026.0973939999999</v>
      </c>
      <c r="Z161" s="183">
        <v>0.67953469801324495</v>
      </c>
      <c r="AA161" s="185">
        <v>163.4958</v>
      </c>
      <c r="AB161" s="185">
        <v>210.55638600000006</v>
      </c>
      <c r="AC161" s="185">
        <v>109.85042000000001</v>
      </c>
      <c r="AD161" s="185">
        <v>1510</v>
      </c>
      <c r="AE161" s="186">
        <v>11.399999999999977</v>
      </c>
      <c r="AF161" s="183">
        <v>0.22799999999999954</v>
      </c>
      <c r="AG161" s="186">
        <v>20.319131999999968</v>
      </c>
      <c r="AH161" s="183">
        <v>0.20319131999999968</v>
      </c>
    </row>
    <row r="162" spans="3:34" x14ac:dyDescent="0.25">
      <c r="C162" s="181">
        <v>1520</v>
      </c>
      <c r="D162" s="183">
        <v>0</v>
      </c>
      <c r="E162" s="185">
        <v>195</v>
      </c>
      <c r="F162" s="181">
        <v>195</v>
      </c>
      <c r="G162" s="185">
        <v>1325</v>
      </c>
      <c r="H162" s="185">
        <v>78.40979999999999</v>
      </c>
      <c r="I162" s="185">
        <v>71.37</v>
      </c>
      <c r="J162" s="185">
        <v>13.716000000000001</v>
      </c>
      <c r="K162" s="181">
        <v>48</v>
      </c>
      <c r="P162" s="186">
        <v>211.4958</v>
      </c>
      <c r="Q162" s="186">
        <v>1113.5042000000001</v>
      </c>
      <c r="R162" s="183">
        <v>0.33</v>
      </c>
      <c r="S162" s="185">
        <v>-153.6</v>
      </c>
      <c r="T162" s="185">
        <v>213.85638600000007</v>
      </c>
      <c r="U162" s="185">
        <v>110.85042000000001</v>
      </c>
      <c r="V162" s="187">
        <v>227.50638600000008</v>
      </c>
      <c r="X162" s="185">
        <v>1520</v>
      </c>
      <c r="Y162" s="185">
        <v>1031.7973939999999</v>
      </c>
      <c r="Z162" s="183">
        <v>0.67881407499999991</v>
      </c>
      <c r="AA162" s="185">
        <v>163.4958</v>
      </c>
      <c r="AB162" s="185">
        <v>213.85638600000007</v>
      </c>
      <c r="AC162" s="185">
        <v>110.85042000000001</v>
      </c>
      <c r="AD162" s="185">
        <v>1520</v>
      </c>
      <c r="AE162" s="186">
        <v>11.399999999999977</v>
      </c>
      <c r="AF162" s="183">
        <v>0.22799999999999954</v>
      </c>
      <c r="AG162" s="186">
        <v>20.319132000000081</v>
      </c>
      <c r="AH162" s="183">
        <v>0.20319132000000081</v>
      </c>
    </row>
    <row r="163" spans="3:34" x14ac:dyDescent="0.25">
      <c r="C163" s="181">
        <v>1530</v>
      </c>
      <c r="D163" s="183">
        <v>0</v>
      </c>
      <c r="E163" s="185">
        <v>195</v>
      </c>
      <c r="F163" s="181">
        <v>195</v>
      </c>
      <c r="G163" s="185">
        <v>1335</v>
      </c>
      <c r="H163" s="185">
        <v>78.40979999999999</v>
      </c>
      <c r="I163" s="185">
        <v>71.37</v>
      </c>
      <c r="J163" s="185">
        <v>13.716000000000001</v>
      </c>
      <c r="K163" s="181">
        <v>48</v>
      </c>
      <c r="P163" s="186">
        <v>211.4958</v>
      </c>
      <c r="Q163" s="186">
        <v>1123.5042000000001</v>
      </c>
      <c r="R163" s="183">
        <v>0.33</v>
      </c>
      <c r="S163" s="185">
        <v>-153.6</v>
      </c>
      <c r="T163" s="185">
        <v>217.15638600000003</v>
      </c>
      <c r="U163" s="185">
        <v>111.85042000000001</v>
      </c>
      <c r="V163" s="187">
        <v>230.80638600000003</v>
      </c>
      <c r="X163" s="185">
        <v>1530</v>
      </c>
      <c r="Y163" s="185">
        <v>1037.497394</v>
      </c>
      <c r="Z163" s="183">
        <v>0.67810287189542484</v>
      </c>
      <c r="AA163" s="185">
        <v>163.4958</v>
      </c>
      <c r="AB163" s="185">
        <v>217.15638600000003</v>
      </c>
      <c r="AC163" s="185">
        <v>111.85042000000001</v>
      </c>
      <c r="AD163" s="185">
        <v>1530</v>
      </c>
      <c r="AE163" s="186">
        <v>11.400000000000091</v>
      </c>
      <c r="AF163" s="183">
        <v>0.22800000000000181</v>
      </c>
      <c r="AG163" s="186">
        <v>22.800000000000068</v>
      </c>
      <c r="AH163" s="183">
        <v>0.22800000000000067</v>
      </c>
    </row>
    <row r="164" spans="3:34" x14ac:dyDescent="0.25">
      <c r="C164" s="181">
        <v>1540</v>
      </c>
      <c r="D164" s="183">
        <v>0</v>
      </c>
      <c r="E164" s="185">
        <v>195</v>
      </c>
      <c r="F164" s="181">
        <v>195</v>
      </c>
      <c r="G164" s="185">
        <v>1345</v>
      </c>
      <c r="H164" s="185">
        <v>78.40979999999999</v>
      </c>
      <c r="I164" s="185">
        <v>71.37</v>
      </c>
      <c r="J164" s="185">
        <v>13.716000000000001</v>
      </c>
      <c r="K164" s="181">
        <v>48</v>
      </c>
      <c r="P164" s="186">
        <v>211.4958</v>
      </c>
      <c r="Q164" s="186">
        <v>1133.5042000000001</v>
      </c>
      <c r="R164" s="183">
        <v>0.33</v>
      </c>
      <c r="S164" s="185">
        <v>-153.6</v>
      </c>
      <c r="T164" s="185">
        <v>220.45638600000004</v>
      </c>
      <c r="U164" s="185">
        <v>112.85042000000001</v>
      </c>
      <c r="V164" s="187">
        <v>234.10638600000004</v>
      </c>
      <c r="X164" s="185">
        <v>1540</v>
      </c>
      <c r="Y164" s="185">
        <v>1043.1973939999998</v>
      </c>
      <c r="Z164" s="183">
        <v>0.67740090519480511</v>
      </c>
      <c r="AA164" s="185">
        <v>163.4958</v>
      </c>
      <c r="AB164" s="185">
        <v>220.45638600000004</v>
      </c>
      <c r="AC164" s="185">
        <v>112.85042000000001</v>
      </c>
      <c r="AD164" s="185">
        <v>1540</v>
      </c>
      <c r="AE164" s="186">
        <v>11.399999999999864</v>
      </c>
      <c r="AF164" s="183">
        <v>0.22799999999999726</v>
      </c>
      <c r="AG164" s="186">
        <v>22.799999999999841</v>
      </c>
      <c r="AH164" s="183">
        <v>0.2279999999999984</v>
      </c>
    </row>
    <row r="165" spans="3:34" x14ac:dyDescent="0.25">
      <c r="C165" s="181">
        <v>1550</v>
      </c>
      <c r="D165" s="183">
        <v>0</v>
      </c>
      <c r="E165" s="185">
        <v>195</v>
      </c>
      <c r="F165" s="181">
        <v>195</v>
      </c>
      <c r="G165" s="185">
        <v>1355</v>
      </c>
      <c r="H165" s="185">
        <v>78.40979999999999</v>
      </c>
      <c r="I165" s="185">
        <v>71.37</v>
      </c>
      <c r="J165" s="185">
        <v>13.716000000000001</v>
      </c>
      <c r="K165" s="181">
        <v>48</v>
      </c>
      <c r="P165" s="186">
        <v>211.4958</v>
      </c>
      <c r="Q165" s="186">
        <v>1143.5042000000001</v>
      </c>
      <c r="R165" s="183">
        <v>0.33</v>
      </c>
      <c r="S165" s="185">
        <v>-153.6</v>
      </c>
      <c r="T165" s="185">
        <v>223.75638600000005</v>
      </c>
      <c r="U165" s="185">
        <v>113.85042000000001</v>
      </c>
      <c r="V165" s="187">
        <v>237.40638600000005</v>
      </c>
      <c r="X165" s="185">
        <v>1550</v>
      </c>
      <c r="Y165" s="185">
        <v>1048.8973940000001</v>
      </c>
      <c r="Z165" s="183">
        <v>0.67670799612903232</v>
      </c>
      <c r="AA165" s="185">
        <v>163.4958</v>
      </c>
      <c r="AB165" s="185">
        <v>223.75638600000005</v>
      </c>
      <c r="AC165" s="185">
        <v>113.85042000000001</v>
      </c>
      <c r="AD165" s="185">
        <v>1550</v>
      </c>
      <c r="AE165" s="186">
        <v>11.400000000000091</v>
      </c>
      <c r="AF165" s="183">
        <v>0.22800000000000181</v>
      </c>
      <c r="AG165" s="186">
        <v>22.800000000000182</v>
      </c>
      <c r="AH165" s="183">
        <v>0.22800000000000181</v>
      </c>
    </row>
    <row r="166" spans="3:34" x14ac:dyDescent="0.25">
      <c r="C166" s="181">
        <v>1560</v>
      </c>
      <c r="D166" s="183">
        <v>0</v>
      </c>
      <c r="E166" s="185">
        <v>195</v>
      </c>
      <c r="F166" s="181">
        <v>195</v>
      </c>
      <c r="G166" s="185">
        <v>1365</v>
      </c>
      <c r="H166" s="185">
        <v>82.114199999999997</v>
      </c>
      <c r="I166" s="185">
        <v>71.37</v>
      </c>
      <c r="J166" s="185">
        <v>14.363999999999997</v>
      </c>
      <c r="K166" s="181">
        <v>48</v>
      </c>
      <c r="P166" s="186">
        <v>215.84819999999999</v>
      </c>
      <c r="Q166" s="186">
        <v>1149.1518000000001</v>
      </c>
      <c r="R166" s="183">
        <v>0.33</v>
      </c>
      <c r="S166" s="185">
        <v>-153.6</v>
      </c>
      <c r="T166" s="185">
        <v>225.62009400000008</v>
      </c>
      <c r="U166" s="185">
        <v>114.41518000000002</v>
      </c>
      <c r="V166" s="187">
        <v>239.27009400000009</v>
      </c>
      <c r="X166" s="185">
        <v>1560</v>
      </c>
      <c r="Y166" s="185">
        <v>1052.1165259999998</v>
      </c>
      <c r="Z166" s="183">
        <v>0.67443367051282033</v>
      </c>
      <c r="AA166" s="185">
        <v>167.84819999999999</v>
      </c>
      <c r="AB166" s="185">
        <v>225.62009400000008</v>
      </c>
      <c r="AC166" s="185">
        <v>114.41518000000002</v>
      </c>
      <c r="AD166" s="185">
        <v>1560</v>
      </c>
      <c r="AE166" s="186">
        <v>8.9191319999999905</v>
      </c>
      <c r="AF166" s="183">
        <v>0.17838263999999981</v>
      </c>
      <c r="AG166" s="186">
        <v>20.319131999999854</v>
      </c>
      <c r="AH166" s="183">
        <v>0.20319131999999854</v>
      </c>
    </row>
    <row r="167" spans="3:34" x14ac:dyDescent="0.25">
      <c r="C167" s="181">
        <v>1570</v>
      </c>
      <c r="D167" s="183">
        <v>0</v>
      </c>
      <c r="E167" s="185">
        <v>195</v>
      </c>
      <c r="F167" s="181">
        <v>195</v>
      </c>
      <c r="G167" s="185">
        <v>1375</v>
      </c>
      <c r="H167" s="185">
        <v>82.114199999999997</v>
      </c>
      <c r="I167" s="185">
        <v>71.37</v>
      </c>
      <c r="J167" s="185">
        <v>14.363999999999997</v>
      </c>
      <c r="K167" s="181">
        <v>48</v>
      </c>
      <c r="P167" s="186">
        <v>215.84819999999999</v>
      </c>
      <c r="Q167" s="186">
        <v>1159.1518000000001</v>
      </c>
      <c r="R167" s="183">
        <v>0.33</v>
      </c>
      <c r="S167" s="185">
        <v>-153.6</v>
      </c>
      <c r="T167" s="185">
        <v>228.92009400000003</v>
      </c>
      <c r="U167" s="185">
        <v>115.41518000000002</v>
      </c>
      <c r="V167" s="187">
        <v>242.57009400000004</v>
      </c>
      <c r="X167" s="185">
        <v>1570</v>
      </c>
      <c r="Y167" s="185">
        <v>1057.8165260000001</v>
      </c>
      <c r="Z167" s="183">
        <v>0.67376848789808919</v>
      </c>
      <c r="AA167" s="185">
        <v>167.84819999999999</v>
      </c>
      <c r="AB167" s="185">
        <v>228.92009400000003</v>
      </c>
      <c r="AC167" s="185">
        <v>115.41518000000002</v>
      </c>
      <c r="AD167" s="185">
        <v>1570</v>
      </c>
      <c r="AE167" s="186">
        <v>8.9191319999999905</v>
      </c>
      <c r="AF167" s="183">
        <v>0.17838263999999981</v>
      </c>
      <c r="AG167" s="186">
        <v>20.319132000000081</v>
      </c>
      <c r="AH167" s="183">
        <v>0.20319132000000081</v>
      </c>
    </row>
    <row r="168" spans="3:34" x14ac:dyDescent="0.25">
      <c r="C168" s="181">
        <v>1580</v>
      </c>
      <c r="D168" s="183">
        <v>0</v>
      </c>
      <c r="E168" s="185">
        <v>195</v>
      </c>
      <c r="F168" s="181">
        <v>195</v>
      </c>
      <c r="G168" s="185">
        <v>1385</v>
      </c>
      <c r="H168" s="185">
        <v>82.114199999999997</v>
      </c>
      <c r="I168" s="185">
        <v>71.37</v>
      </c>
      <c r="J168" s="185">
        <v>14.363999999999997</v>
      </c>
      <c r="K168" s="181">
        <v>48</v>
      </c>
      <c r="P168" s="186">
        <v>215.84819999999999</v>
      </c>
      <c r="Q168" s="186">
        <v>1169.1518000000001</v>
      </c>
      <c r="R168" s="183">
        <v>0.33</v>
      </c>
      <c r="S168" s="185">
        <v>-153.6</v>
      </c>
      <c r="T168" s="185">
        <v>232.22009400000005</v>
      </c>
      <c r="U168" s="185">
        <v>116.41518000000002</v>
      </c>
      <c r="V168" s="187">
        <v>245.87009400000005</v>
      </c>
      <c r="X168" s="185">
        <v>1580</v>
      </c>
      <c r="Y168" s="185">
        <v>1063.5165259999999</v>
      </c>
      <c r="Z168" s="183">
        <v>0.67311172531645558</v>
      </c>
      <c r="AA168" s="185">
        <v>167.84819999999999</v>
      </c>
      <c r="AB168" s="185">
        <v>232.22009400000005</v>
      </c>
      <c r="AC168" s="185">
        <v>116.41518000000002</v>
      </c>
      <c r="AD168" s="185">
        <v>1580</v>
      </c>
      <c r="AE168" s="186">
        <v>11.400000000000091</v>
      </c>
      <c r="AF168" s="183">
        <v>0.22800000000000181</v>
      </c>
      <c r="AG168" s="186">
        <v>20.319132000000081</v>
      </c>
      <c r="AH168" s="183">
        <v>0.20319132000000081</v>
      </c>
    </row>
    <row r="169" spans="3:34" x14ac:dyDescent="0.25">
      <c r="C169" s="181">
        <v>1590</v>
      </c>
      <c r="D169" s="183">
        <v>0</v>
      </c>
      <c r="E169" s="185">
        <v>195</v>
      </c>
      <c r="F169" s="181">
        <v>195</v>
      </c>
      <c r="G169" s="185">
        <v>1395</v>
      </c>
      <c r="H169" s="185">
        <v>82.114199999999997</v>
      </c>
      <c r="I169" s="185">
        <v>71.37</v>
      </c>
      <c r="J169" s="185">
        <v>14.363999999999997</v>
      </c>
      <c r="K169" s="181">
        <v>48</v>
      </c>
      <c r="P169" s="186">
        <v>215.84819999999999</v>
      </c>
      <c r="Q169" s="186">
        <v>1179.1518000000001</v>
      </c>
      <c r="R169" s="183">
        <v>0.33</v>
      </c>
      <c r="S169" s="185">
        <v>-153.6</v>
      </c>
      <c r="T169" s="185">
        <v>235.52009400000006</v>
      </c>
      <c r="U169" s="185">
        <v>117.41518000000002</v>
      </c>
      <c r="V169" s="187">
        <v>249.17009400000006</v>
      </c>
      <c r="X169" s="185">
        <v>1590</v>
      </c>
      <c r="Y169" s="185">
        <v>1069.2165259999999</v>
      </c>
      <c r="Z169" s="183">
        <v>0.67246322389937108</v>
      </c>
      <c r="AA169" s="185">
        <v>167.84819999999999</v>
      </c>
      <c r="AB169" s="185">
        <v>235.52009400000006</v>
      </c>
      <c r="AC169" s="185">
        <v>117.41518000000002</v>
      </c>
      <c r="AD169" s="185">
        <v>1590</v>
      </c>
      <c r="AE169" s="186">
        <v>11.399999999999864</v>
      </c>
      <c r="AF169" s="183">
        <v>0.22799999999999726</v>
      </c>
      <c r="AG169" s="186">
        <v>20.319131999999854</v>
      </c>
      <c r="AH169" s="183">
        <v>0.20319131999999854</v>
      </c>
    </row>
    <row r="170" spans="3:34" x14ac:dyDescent="0.25">
      <c r="C170" s="181">
        <v>1600</v>
      </c>
      <c r="D170" s="183">
        <v>0</v>
      </c>
      <c r="E170" s="185">
        <v>195</v>
      </c>
      <c r="F170" s="181">
        <v>195</v>
      </c>
      <c r="G170" s="185">
        <v>1405</v>
      </c>
      <c r="H170" s="185">
        <v>82.114199999999997</v>
      </c>
      <c r="I170" s="185">
        <v>71.37</v>
      </c>
      <c r="J170" s="185">
        <v>14.363999999999997</v>
      </c>
      <c r="K170" s="181">
        <v>48</v>
      </c>
      <c r="P170" s="186">
        <v>215.84819999999999</v>
      </c>
      <c r="Q170" s="186">
        <v>1189.1518000000001</v>
      </c>
      <c r="R170" s="183">
        <v>0.33</v>
      </c>
      <c r="S170" s="185">
        <v>-153.6</v>
      </c>
      <c r="T170" s="185">
        <v>238.82009400000007</v>
      </c>
      <c r="U170" s="185">
        <v>118.41518000000002</v>
      </c>
      <c r="V170" s="187">
        <v>252.47009400000007</v>
      </c>
      <c r="X170" s="185">
        <v>1600</v>
      </c>
      <c r="Y170" s="185">
        <v>1074.916526</v>
      </c>
      <c r="Z170" s="183">
        <v>0.67182282874999999</v>
      </c>
      <c r="AA170" s="185">
        <v>167.84819999999999</v>
      </c>
      <c r="AB170" s="185">
        <v>238.82009400000007</v>
      </c>
      <c r="AC170" s="185">
        <v>118.41518000000002</v>
      </c>
      <c r="AD170" s="185">
        <v>1600</v>
      </c>
      <c r="AE170" s="186">
        <v>11.400000000000091</v>
      </c>
      <c r="AF170" s="183">
        <v>0.22800000000000181</v>
      </c>
      <c r="AG170" s="186">
        <v>22.800000000000182</v>
      </c>
      <c r="AH170" s="183">
        <v>0.22800000000000181</v>
      </c>
    </row>
    <row r="171" spans="3:34" x14ac:dyDescent="0.25">
      <c r="C171" s="181">
        <v>1610</v>
      </c>
      <c r="D171" s="183">
        <v>0</v>
      </c>
      <c r="E171" s="185">
        <v>195</v>
      </c>
      <c r="F171" s="181">
        <v>195</v>
      </c>
      <c r="G171" s="185">
        <v>1415</v>
      </c>
      <c r="H171" s="185">
        <v>82.114199999999997</v>
      </c>
      <c r="I171" s="185">
        <v>71.37</v>
      </c>
      <c r="J171" s="185">
        <v>14.363999999999997</v>
      </c>
      <c r="K171" s="181">
        <v>48</v>
      </c>
      <c r="P171" s="186">
        <v>215.84819999999999</v>
      </c>
      <c r="Q171" s="186">
        <v>1199.1518000000001</v>
      </c>
      <c r="R171" s="183">
        <v>0.33</v>
      </c>
      <c r="S171" s="185">
        <v>-153.6</v>
      </c>
      <c r="T171" s="185">
        <v>242.12009400000008</v>
      </c>
      <c r="U171" s="185">
        <v>119.41518000000002</v>
      </c>
      <c r="V171" s="187">
        <v>255.77009400000009</v>
      </c>
      <c r="X171" s="185">
        <v>1610</v>
      </c>
      <c r="Y171" s="185">
        <v>1080.6165259999998</v>
      </c>
      <c r="Z171" s="183">
        <v>0.67119038881987569</v>
      </c>
      <c r="AA171" s="185">
        <v>167.84819999999999</v>
      </c>
      <c r="AB171" s="185">
        <v>242.12009400000008</v>
      </c>
      <c r="AC171" s="185">
        <v>119.41518000000002</v>
      </c>
      <c r="AD171" s="185">
        <v>1610</v>
      </c>
      <c r="AE171" s="186">
        <v>11.399999999999864</v>
      </c>
      <c r="AF171" s="183">
        <v>0.22799999999999726</v>
      </c>
      <c r="AG171" s="186">
        <v>22.799999999999727</v>
      </c>
      <c r="AH171" s="183">
        <v>0.22799999999999726</v>
      </c>
    </row>
    <row r="172" spans="3:34" x14ac:dyDescent="0.25">
      <c r="C172" s="181">
        <v>1620</v>
      </c>
      <c r="D172" s="183">
        <v>0</v>
      </c>
      <c r="E172" s="185">
        <v>195</v>
      </c>
      <c r="F172" s="181">
        <v>195</v>
      </c>
      <c r="G172" s="185">
        <v>1425</v>
      </c>
      <c r="H172" s="185">
        <v>82.114199999999997</v>
      </c>
      <c r="I172" s="185">
        <v>71.37</v>
      </c>
      <c r="J172" s="185">
        <v>14.363999999999997</v>
      </c>
      <c r="K172" s="181">
        <v>48</v>
      </c>
      <c r="P172" s="186">
        <v>215.84819999999999</v>
      </c>
      <c r="Q172" s="186">
        <v>1209.1518000000001</v>
      </c>
      <c r="R172" s="183">
        <v>0.33</v>
      </c>
      <c r="S172" s="185">
        <v>-153.6</v>
      </c>
      <c r="T172" s="185">
        <v>245.42009400000003</v>
      </c>
      <c r="U172" s="185">
        <v>120.41518000000002</v>
      </c>
      <c r="V172" s="187">
        <v>259.07009400000004</v>
      </c>
      <c r="X172" s="185">
        <v>1620</v>
      </c>
      <c r="Y172" s="185">
        <v>1086.3165260000001</v>
      </c>
      <c r="Z172" s="183">
        <v>0.67056575679012353</v>
      </c>
      <c r="AA172" s="185">
        <v>167.84819999999999</v>
      </c>
      <c r="AB172" s="185">
        <v>245.42009400000003</v>
      </c>
      <c r="AC172" s="185">
        <v>120.41518000000002</v>
      </c>
      <c r="AD172" s="185">
        <v>1620</v>
      </c>
      <c r="AE172" s="186">
        <v>11.400000000000091</v>
      </c>
      <c r="AF172" s="183">
        <v>0.22800000000000181</v>
      </c>
      <c r="AG172" s="186">
        <v>22.800000000000182</v>
      </c>
      <c r="AH172" s="183">
        <v>0.22800000000000181</v>
      </c>
    </row>
    <row r="173" spans="3:34" x14ac:dyDescent="0.25">
      <c r="C173" s="181">
        <v>1630</v>
      </c>
      <c r="D173" s="183">
        <v>0</v>
      </c>
      <c r="E173" s="185">
        <v>195</v>
      </c>
      <c r="F173" s="181">
        <v>195</v>
      </c>
      <c r="G173" s="185">
        <v>1435</v>
      </c>
      <c r="H173" s="185">
        <v>85.818599999999989</v>
      </c>
      <c r="I173" s="185">
        <v>71.37</v>
      </c>
      <c r="J173" s="185">
        <v>15.011999999999999</v>
      </c>
      <c r="K173" s="181">
        <v>48</v>
      </c>
      <c r="P173" s="186">
        <v>220.20060000000001</v>
      </c>
      <c r="Q173" s="186">
        <v>1214.7993999999999</v>
      </c>
      <c r="R173" s="183">
        <v>0.33</v>
      </c>
      <c r="S173" s="185">
        <v>-153.6</v>
      </c>
      <c r="T173" s="185">
        <v>247.28380200000001</v>
      </c>
      <c r="U173" s="185">
        <v>120.97994</v>
      </c>
      <c r="V173" s="187">
        <v>260.93380200000001</v>
      </c>
      <c r="X173" s="185">
        <v>1630</v>
      </c>
      <c r="Y173" s="185">
        <v>1089.535658</v>
      </c>
      <c r="Z173" s="183">
        <v>0.66842678404907974</v>
      </c>
      <c r="AA173" s="185">
        <v>172.20060000000001</v>
      </c>
      <c r="AB173" s="185">
        <v>247.28380200000001</v>
      </c>
      <c r="AC173" s="185">
        <v>120.97994</v>
      </c>
      <c r="AD173" s="185">
        <v>1630</v>
      </c>
      <c r="AE173" s="186">
        <v>8.9191320000002179</v>
      </c>
      <c r="AF173" s="183">
        <v>0.17838264000000437</v>
      </c>
      <c r="AG173" s="186">
        <v>20.319132000000081</v>
      </c>
      <c r="AH173" s="183">
        <v>0.20319132000000081</v>
      </c>
    </row>
    <row r="174" spans="3:34" x14ac:dyDescent="0.25">
      <c r="C174" s="181">
        <v>1640</v>
      </c>
      <c r="D174" s="183">
        <v>0</v>
      </c>
      <c r="E174" s="185">
        <v>195</v>
      </c>
      <c r="F174" s="181">
        <v>195</v>
      </c>
      <c r="G174" s="185">
        <v>1445</v>
      </c>
      <c r="H174" s="185">
        <v>85.818599999999989</v>
      </c>
      <c r="I174" s="185">
        <v>71.37</v>
      </c>
      <c r="J174" s="185">
        <v>15.011999999999999</v>
      </c>
      <c r="K174" s="181">
        <v>48</v>
      </c>
      <c r="P174" s="186">
        <v>220.20060000000001</v>
      </c>
      <c r="Q174" s="186">
        <v>1224.7993999999999</v>
      </c>
      <c r="R174" s="183">
        <v>0.33</v>
      </c>
      <c r="S174" s="185">
        <v>-153.6</v>
      </c>
      <c r="T174" s="185">
        <v>250.58380199999996</v>
      </c>
      <c r="U174" s="185">
        <v>121.97994</v>
      </c>
      <c r="V174" s="187">
        <v>264.23380199999997</v>
      </c>
      <c r="X174" s="185">
        <v>1640</v>
      </c>
      <c r="Y174" s="185">
        <v>1095.2356580000001</v>
      </c>
      <c r="Z174" s="183">
        <v>0.6678266207317074</v>
      </c>
      <c r="AA174" s="185">
        <v>172.20060000000001</v>
      </c>
      <c r="AB174" s="185">
        <v>250.58380199999996</v>
      </c>
      <c r="AC174" s="185">
        <v>121.97994</v>
      </c>
      <c r="AD174" s="185">
        <v>1640</v>
      </c>
      <c r="AE174" s="186">
        <v>8.9191319999999905</v>
      </c>
      <c r="AF174" s="183">
        <v>0.17838263999999981</v>
      </c>
      <c r="AG174" s="186">
        <v>20.319132000000081</v>
      </c>
      <c r="AH174" s="183">
        <v>0.20319132000000081</v>
      </c>
    </row>
    <row r="175" spans="3:34" x14ac:dyDescent="0.25">
      <c r="C175" s="181">
        <v>1650</v>
      </c>
      <c r="D175" s="183">
        <v>0</v>
      </c>
      <c r="E175" s="185">
        <v>195</v>
      </c>
      <c r="F175" s="181">
        <v>195</v>
      </c>
      <c r="G175" s="185">
        <v>1455</v>
      </c>
      <c r="H175" s="185">
        <v>85.818599999999989</v>
      </c>
      <c r="I175" s="185">
        <v>71.37</v>
      </c>
      <c r="J175" s="185">
        <v>15.011999999999999</v>
      </c>
      <c r="K175" s="181">
        <v>48</v>
      </c>
      <c r="P175" s="186">
        <v>220.20060000000001</v>
      </c>
      <c r="Q175" s="186">
        <v>1234.7993999999999</v>
      </c>
      <c r="R175" s="183">
        <v>0.33</v>
      </c>
      <c r="S175" s="185">
        <v>-153.6</v>
      </c>
      <c r="T175" s="185">
        <v>253.88380199999997</v>
      </c>
      <c r="U175" s="185">
        <v>122.97994</v>
      </c>
      <c r="V175" s="187">
        <v>267.53380199999998</v>
      </c>
      <c r="X175" s="185">
        <v>1650</v>
      </c>
      <c r="Y175" s="185">
        <v>1100.9356580000001</v>
      </c>
      <c r="Z175" s="183">
        <v>0.66723373212121218</v>
      </c>
      <c r="AA175" s="185">
        <v>172.20060000000001</v>
      </c>
      <c r="AB175" s="185">
        <v>253.88380199999997</v>
      </c>
      <c r="AC175" s="185">
        <v>122.97994</v>
      </c>
      <c r="AD175" s="185">
        <v>1650</v>
      </c>
      <c r="AE175" s="186">
        <v>11.400000000000091</v>
      </c>
      <c r="AF175" s="183">
        <v>0.22800000000000181</v>
      </c>
      <c r="AG175" s="186">
        <v>20.319132000000309</v>
      </c>
      <c r="AH175" s="183">
        <v>0.20319132000000309</v>
      </c>
    </row>
    <row r="176" spans="3:34" x14ac:dyDescent="0.25">
      <c r="C176" s="181">
        <v>1660</v>
      </c>
      <c r="D176" s="183">
        <v>0</v>
      </c>
      <c r="E176" s="185">
        <v>195</v>
      </c>
      <c r="F176" s="181">
        <v>195</v>
      </c>
      <c r="G176" s="185">
        <v>1465</v>
      </c>
      <c r="H176" s="185">
        <v>85.818599999999989</v>
      </c>
      <c r="I176" s="185">
        <v>71.37</v>
      </c>
      <c r="J176" s="185">
        <v>15.011999999999999</v>
      </c>
      <c r="K176" s="181">
        <v>48</v>
      </c>
      <c r="P176" s="186">
        <v>220.20060000000001</v>
      </c>
      <c r="Q176" s="186">
        <v>1244.7993999999999</v>
      </c>
      <c r="R176" s="183">
        <v>0.33</v>
      </c>
      <c r="S176" s="185">
        <v>-153.6</v>
      </c>
      <c r="T176" s="185">
        <v>257.18380200000001</v>
      </c>
      <c r="U176" s="185">
        <v>123.97994</v>
      </c>
      <c r="V176" s="187">
        <v>270.83380199999999</v>
      </c>
      <c r="X176" s="185">
        <v>1660</v>
      </c>
      <c r="Y176" s="185">
        <v>1106.6356579999999</v>
      </c>
      <c r="Z176" s="183">
        <v>0.66664798674698789</v>
      </c>
      <c r="AA176" s="185">
        <v>172.20060000000001</v>
      </c>
      <c r="AB176" s="185">
        <v>257.18380200000001</v>
      </c>
      <c r="AC176" s="185">
        <v>123.97994</v>
      </c>
      <c r="AD176" s="185">
        <v>1660</v>
      </c>
      <c r="AE176" s="186">
        <v>11.399999999999864</v>
      </c>
      <c r="AF176" s="183">
        <v>0.22799999999999726</v>
      </c>
      <c r="AG176" s="186">
        <v>20.319131999999854</v>
      </c>
      <c r="AH176" s="183">
        <v>0.20319131999999854</v>
      </c>
    </row>
    <row r="177" spans="3:34" x14ac:dyDescent="0.25">
      <c r="C177" s="181">
        <v>1670</v>
      </c>
      <c r="D177" s="183">
        <v>0</v>
      </c>
      <c r="E177" s="185">
        <v>195</v>
      </c>
      <c r="F177" s="181">
        <v>195</v>
      </c>
      <c r="G177" s="185">
        <v>1475</v>
      </c>
      <c r="H177" s="185">
        <v>85.818599999999989</v>
      </c>
      <c r="I177" s="185">
        <v>71.37</v>
      </c>
      <c r="J177" s="185">
        <v>15.011999999999999</v>
      </c>
      <c r="K177" s="181">
        <v>48</v>
      </c>
      <c r="P177" s="186">
        <v>220.20060000000001</v>
      </c>
      <c r="Q177" s="186">
        <v>1254.7993999999999</v>
      </c>
      <c r="R177" s="183">
        <v>0.33</v>
      </c>
      <c r="S177" s="185">
        <v>-153.6</v>
      </c>
      <c r="T177" s="185">
        <v>260.48380199999997</v>
      </c>
      <c r="U177" s="185">
        <v>124.97994</v>
      </c>
      <c r="V177" s="187">
        <v>274.13380199999995</v>
      </c>
      <c r="X177" s="185">
        <v>1670</v>
      </c>
      <c r="Y177" s="185">
        <v>1112.335658</v>
      </c>
      <c r="Z177" s="183">
        <v>0.66606925628742508</v>
      </c>
      <c r="AA177" s="185">
        <v>172.20060000000001</v>
      </c>
      <c r="AB177" s="185">
        <v>260.48380199999997</v>
      </c>
      <c r="AC177" s="185">
        <v>124.97994</v>
      </c>
      <c r="AD177" s="185">
        <v>1670</v>
      </c>
      <c r="AE177" s="186">
        <v>11.399999999999864</v>
      </c>
      <c r="AF177" s="183">
        <v>0.22799999999999726</v>
      </c>
      <c r="AG177" s="186">
        <v>22.799999999999955</v>
      </c>
      <c r="AH177" s="183">
        <v>0.22799999999999954</v>
      </c>
    </row>
    <row r="178" spans="3:34" x14ac:dyDescent="0.25">
      <c r="C178" s="181">
        <v>1680</v>
      </c>
      <c r="D178" s="183">
        <v>0</v>
      </c>
      <c r="E178" s="185">
        <v>195</v>
      </c>
      <c r="F178" s="181">
        <v>195</v>
      </c>
      <c r="G178" s="185">
        <v>1485</v>
      </c>
      <c r="H178" s="185">
        <v>85.818599999999989</v>
      </c>
      <c r="I178" s="185">
        <v>71.37</v>
      </c>
      <c r="J178" s="185">
        <v>15.011999999999999</v>
      </c>
      <c r="K178" s="181">
        <v>48</v>
      </c>
      <c r="P178" s="186">
        <v>220.20060000000001</v>
      </c>
      <c r="Q178" s="186">
        <v>1264.7993999999999</v>
      </c>
      <c r="R178" s="183">
        <v>0.33</v>
      </c>
      <c r="S178" s="185">
        <v>-153.6</v>
      </c>
      <c r="T178" s="185">
        <v>263.78380200000004</v>
      </c>
      <c r="U178" s="185">
        <v>125.97994</v>
      </c>
      <c r="V178" s="187">
        <v>277.43380200000001</v>
      </c>
      <c r="X178" s="185">
        <v>1680</v>
      </c>
      <c r="Y178" s="185">
        <v>1118.035658</v>
      </c>
      <c r="Z178" s="183">
        <v>0.66549741547619046</v>
      </c>
      <c r="AA178" s="185">
        <v>172.20060000000001</v>
      </c>
      <c r="AB178" s="185">
        <v>263.78380200000004</v>
      </c>
      <c r="AC178" s="185">
        <v>125.97994</v>
      </c>
      <c r="AD178" s="185">
        <v>1680</v>
      </c>
      <c r="AE178" s="186">
        <v>11.400000000000091</v>
      </c>
      <c r="AF178" s="183">
        <v>0.22800000000000181</v>
      </c>
      <c r="AG178" s="186">
        <v>22.799999999999955</v>
      </c>
      <c r="AH178" s="183">
        <v>0.22799999999999954</v>
      </c>
    </row>
    <row r="179" spans="3:34" x14ac:dyDescent="0.25">
      <c r="C179" s="181">
        <v>1690</v>
      </c>
      <c r="D179" s="183">
        <v>0</v>
      </c>
      <c r="E179" s="185">
        <v>195</v>
      </c>
      <c r="F179" s="181">
        <v>195</v>
      </c>
      <c r="G179" s="185">
        <v>1495</v>
      </c>
      <c r="H179" s="185">
        <v>85.818599999999989</v>
      </c>
      <c r="I179" s="185">
        <v>71.37</v>
      </c>
      <c r="J179" s="185">
        <v>15.011999999999999</v>
      </c>
      <c r="K179" s="181">
        <v>48</v>
      </c>
      <c r="P179" s="186">
        <v>220.20060000000001</v>
      </c>
      <c r="Q179" s="186">
        <v>1274.7993999999999</v>
      </c>
      <c r="R179" s="183">
        <v>0.33</v>
      </c>
      <c r="S179" s="185">
        <v>-153.6</v>
      </c>
      <c r="T179" s="185">
        <v>267.08380199999999</v>
      </c>
      <c r="U179" s="185">
        <v>126.97994</v>
      </c>
      <c r="V179" s="187">
        <v>280.73380199999997</v>
      </c>
      <c r="X179" s="185">
        <v>1690</v>
      </c>
      <c r="Y179" s="185">
        <v>1123.7356580000001</v>
      </c>
      <c r="Z179" s="183">
        <v>0.66493234201183438</v>
      </c>
      <c r="AA179" s="185">
        <v>172.20060000000001</v>
      </c>
      <c r="AB179" s="185">
        <v>267.08380199999999</v>
      </c>
      <c r="AC179" s="185">
        <v>126.97994</v>
      </c>
      <c r="AD179" s="185">
        <v>1690</v>
      </c>
      <c r="AE179" s="186">
        <v>11.400000000000091</v>
      </c>
      <c r="AF179" s="183">
        <v>0.22800000000000181</v>
      </c>
      <c r="AG179" s="186">
        <v>22.799999999999955</v>
      </c>
      <c r="AH179" s="183">
        <v>0.22799999999999954</v>
      </c>
    </row>
    <row r="180" spans="3:34" x14ac:dyDescent="0.25">
      <c r="C180" s="181">
        <v>1700</v>
      </c>
      <c r="D180" s="183">
        <v>0</v>
      </c>
      <c r="E180" s="185">
        <v>195</v>
      </c>
      <c r="F180" s="181">
        <v>195</v>
      </c>
      <c r="G180" s="185">
        <v>1505</v>
      </c>
      <c r="H180" s="185">
        <v>85.818599999999989</v>
      </c>
      <c r="I180" s="185">
        <v>71.37</v>
      </c>
      <c r="J180" s="185">
        <v>15.011999999999999</v>
      </c>
      <c r="K180" s="181">
        <v>48</v>
      </c>
      <c r="P180" s="186">
        <v>220.20060000000001</v>
      </c>
      <c r="Q180" s="186">
        <v>1284.7993999999999</v>
      </c>
      <c r="R180" s="183">
        <v>0.33</v>
      </c>
      <c r="S180" s="185">
        <v>-153.6</v>
      </c>
      <c r="T180" s="185">
        <v>270.38380199999995</v>
      </c>
      <c r="U180" s="185">
        <v>127.97994</v>
      </c>
      <c r="V180" s="187">
        <v>284.03380199999992</v>
      </c>
      <c r="X180" s="185">
        <v>1700</v>
      </c>
      <c r="Y180" s="185">
        <v>1129.4356580000001</v>
      </c>
      <c r="Z180" s="183">
        <v>0.6643739164705883</v>
      </c>
      <c r="AA180" s="185">
        <v>172.20060000000001</v>
      </c>
      <c r="AB180" s="185">
        <v>270.38380199999995</v>
      </c>
      <c r="AC180" s="185">
        <v>127.97994</v>
      </c>
      <c r="AD180" s="185">
        <v>1700</v>
      </c>
      <c r="AE180" s="186">
        <v>11.400000000000091</v>
      </c>
      <c r="AF180" s="183">
        <v>0.22800000000000181</v>
      </c>
      <c r="AG180" s="186">
        <v>22.800000000000182</v>
      </c>
      <c r="AH180" s="183">
        <v>0.22800000000000181</v>
      </c>
    </row>
    <row r="181" spans="3:34" x14ac:dyDescent="0.25">
      <c r="C181" s="181">
        <v>1710</v>
      </c>
      <c r="D181" s="183">
        <v>0</v>
      </c>
      <c r="E181" s="185">
        <v>195</v>
      </c>
      <c r="F181" s="181">
        <v>195</v>
      </c>
      <c r="G181" s="185">
        <v>1515</v>
      </c>
      <c r="H181" s="185">
        <v>85.818599999999989</v>
      </c>
      <c r="I181" s="185">
        <v>71.37</v>
      </c>
      <c r="J181" s="185">
        <v>15.011999999999999</v>
      </c>
      <c r="K181" s="181">
        <v>48</v>
      </c>
      <c r="P181" s="186">
        <v>220.20060000000001</v>
      </c>
      <c r="Q181" s="186">
        <v>1294.7993999999999</v>
      </c>
      <c r="R181" s="183">
        <v>0.33</v>
      </c>
      <c r="S181" s="185">
        <v>-153.6</v>
      </c>
      <c r="T181" s="185">
        <v>273.68380200000001</v>
      </c>
      <c r="U181" s="185">
        <v>128.97994</v>
      </c>
      <c r="V181" s="187">
        <v>287.33380199999999</v>
      </c>
      <c r="X181" s="185">
        <v>1710</v>
      </c>
      <c r="Y181" s="185">
        <v>1135.1356579999999</v>
      </c>
      <c r="Z181" s="183">
        <v>0.6638220222222222</v>
      </c>
      <c r="AA181" s="185">
        <v>172.20060000000001</v>
      </c>
      <c r="AB181" s="185">
        <v>273.68380200000001</v>
      </c>
      <c r="AC181" s="185">
        <v>128.97994</v>
      </c>
      <c r="AD181" s="185">
        <v>1710</v>
      </c>
      <c r="AE181" s="186">
        <v>11.399999999999864</v>
      </c>
      <c r="AF181" s="183">
        <v>0.22799999999999726</v>
      </c>
      <c r="AG181" s="186">
        <v>22.799999999999955</v>
      </c>
      <c r="AH181" s="183">
        <v>0.22799999999999954</v>
      </c>
    </row>
    <row r="182" spans="3:34" x14ac:dyDescent="0.25">
      <c r="C182" s="181">
        <v>1720</v>
      </c>
      <c r="D182" s="183">
        <v>0</v>
      </c>
      <c r="E182" s="185">
        <v>195</v>
      </c>
      <c r="F182" s="181">
        <v>195</v>
      </c>
      <c r="G182" s="185">
        <v>1525</v>
      </c>
      <c r="H182" s="185">
        <v>85.818599999999989</v>
      </c>
      <c r="I182" s="185">
        <v>71.37</v>
      </c>
      <c r="J182" s="185">
        <v>15.011999999999999</v>
      </c>
      <c r="K182" s="181">
        <v>48</v>
      </c>
      <c r="P182" s="186">
        <v>220.20060000000001</v>
      </c>
      <c r="Q182" s="186">
        <v>1304.7993999999999</v>
      </c>
      <c r="R182" s="183">
        <v>0.33</v>
      </c>
      <c r="S182" s="185">
        <v>-153.6</v>
      </c>
      <c r="T182" s="185">
        <v>276.98380199999997</v>
      </c>
      <c r="U182" s="185">
        <v>129.97994</v>
      </c>
      <c r="V182" s="187">
        <v>290.63380199999995</v>
      </c>
      <c r="X182" s="185">
        <v>1720</v>
      </c>
      <c r="Y182" s="185">
        <v>1140.835658</v>
      </c>
      <c r="Z182" s="183">
        <v>0.66327654534883718</v>
      </c>
      <c r="AA182" s="185">
        <v>172.20060000000001</v>
      </c>
      <c r="AB182" s="185">
        <v>276.98380199999997</v>
      </c>
      <c r="AC182" s="185">
        <v>129.97994</v>
      </c>
      <c r="AD182" s="185">
        <v>1720</v>
      </c>
      <c r="AE182" s="186">
        <v>11.399999999999864</v>
      </c>
      <c r="AF182" s="183">
        <v>0.22799999999999726</v>
      </c>
      <c r="AG182" s="186">
        <v>22.799999999999955</v>
      </c>
      <c r="AH182" s="183">
        <v>0.22799999999999954</v>
      </c>
    </row>
    <row r="183" spans="3:34" x14ac:dyDescent="0.25">
      <c r="C183" s="181">
        <v>1730</v>
      </c>
      <c r="D183" s="183">
        <v>0</v>
      </c>
      <c r="E183" s="185">
        <v>195</v>
      </c>
      <c r="F183" s="181">
        <v>195</v>
      </c>
      <c r="G183" s="185">
        <v>1535</v>
      </c>
      <c r="H183" s="185">
        <v>85.818599999999989</v>
      </c>
      <c r="I183" s="185">
        <v>71.37</v>
      </c>
      <c r="J183" s="185">
        <v>15.011999999999999</v>
      </c>
      <c r="K183" s="181">
        <v>48</v>
      </c>
      <c r="P183" s="186">
        <v>220.20060000000001</v>
      </c>
      <c r="Q183" s="186">
        <v>1314.7993999999999</v>
      </c>
      <c r="R183" s="183">
        <v>0.33</v>
      </c>
      <c r="S183" s="185">
        <v>-153.6</v>
      </c>
      <c r="T183" s="185">
        <v>280.28380200000004</v>
      </c>
      <c r="U183" s="185">
        <v>130.97994</v>
      </c>
      <c r="V183" s="187">
        <v>293.93380200000001</v>
      </c>
      <c r="X183" s="185">
        <v>1730</v>
      </c>
      <c r="Y183" s="185">
        <v>1146.535658</v>
      </c>
      <c r="Z183" s="183">
        <v>0.66273737456647397</v>
      </c>
      <c r="AA183" s="185">
        <v>172.20060000000001</v>
      </c>
      <c r="AB183" s="185">
        <v>280.28380200000004</v>
      </c>
      <c r="AC183" s="185">
        <v>130.97994</v>
      </c>
      <c r="AD183" s="185">
        <v>1730</v>
      </c>
      <c r="AE183" s="186">
        <v>11.400000000000091</v>
      </c>
      <c r="AF183" s="183">
        <v>0.22800000000000181</v>
      </c>
      <c r="AG183" s="186">
        <v>22.799999999999955</v>
      </c>
      <c r="AH183" s="183">
        <v>0.22799999999999954</v>
      </c>
    </row>
    <row r="184" spans="3:34" x14ac:dyDescent="0.25">
      <c r="C184" s="181">
        <v>1740</v>
      </c>
      <c r="D184" s="183">
        <v>0</v>
      </c>
      <c r="E184" s="185">
        <v>195</v>
      </c>
      <c r="F184" s="181">
        <v>195</v>
      </c>
      <c r="G184" s="185">
        <v>1545</v>
      </c>
      <c r="H184" s="185">
        <v>85.818599999999989</v>
      </c>
      <c r="I184" s="185">
        <v>71.37</v>
      </c>
      <c r="J184" s="185">
        <v>15.011999999999999</v>
      </c>
      <c r="K184" s="181">
        <v>48</v>
      </c>
      <c r="P184" s="186">
        <v>220.20060000000001</v>
      </c>
      <c r="Q184" s="186">
        <v>1324.7993999999999</v>
      </c>
      <c r="R184" s="183">
        <v>0.33</v>
      </c>
      <c r="S184" s="185">
        <v>-153.6</v>
      </c>
      <c r="T184" s="185">
        <v>283.58380199999999</v>
      </c>
      <c r="U184" s="185">
        <v>131.97994</v>
      </c>
      <c r="V184" s="187">
        <v>297.23380199999997</v>
      </c>
      <c r="X184" s="185">
        <v>1740</v>
      </c>
      <c r="Y184" s="185">
        <v>1152.2356580000001</v>
      </c>
      <c r="Z184" s="183">
        <v>0.66220440114942536</v>
      </c>
      <c r="AA184" s="185">
        <v>172.20060000000001</v>
      </c>
      <c r="AB184" s="185">
        <v>283.58380199999999</v>
      </c>
      <c r="AC184" s="185">
        <v>131.97994</v>
      </c>
      <c r="AD184" s="185">
        <v>1740</v>
      </c>
      <c r="AE184" s="186">
        <v>11.400000000000091</v>
      </c>
      <c r="AF184" s="183">
        <v>0.22800000000000181</v>
      </c>
      <c r="AG184" s="186">
        <v>22.799999999999955</v>
      </c>
      <c r="AH184" s="183">
        <v>0.22799999999999954</v>
      </c>
    </row>
    <row r="185" spans="3:34" x14ac:dyDescent="0.25">
      <c r="C185" s="181">
        <v>1750</v>
      </c>
      <c r="D185" s="183">
        <v>0</v>
      </c>
      <c r="E185" s="185">
        <v>195</v>
      </c>
      <c r="F185" s="181">
        <v>195</v>
      </c>
      <c r="G185" s="185">
        <v>1555</v>
      </c>
      <c r="H185" s="185">
        <v>85.818599999999989</v>
      </c>
      <c r="I185" s="185">
        <v>71.37</v>
      </c>
      <c r="J185" s="185">
        <v>15.011999999999999</v>
      </c>
      <c r="K185" s="181">
        <v>48</v>
      </c>
      <c r="P185" s="186">
        <v>220.20060000000001</v>
      </c>
      <c r="Q185" s="186">
        <v>1334.7993999999999</v>
      </c>
      <c r="R185" s="183">
        <v>0.33</v>
      </c>
      <c r="S185" s="185">
        <v>-153.6</v>
      </c>
      <c r="T185" s="185">
        <v>286.88380199999995</v>
      </c>
      <c r="U185" s="185">
        <v>132.97994</v>
      </c>
      <c r="V185" s="187">
        <v>300.53380199999992</v>
      </c>
      <c r="X185" s="185">
        <v>1750</v>
      </c>
      <c r="Y185" s="185">
        <v>1157.9356580000001</v>
      </c>
      <c r="Z185" s="183">
        <v>0.66167751885714288</v>
      </c>
      <c r="AA185" s="185">
        <v>172.20060000000001</v>
      </c>
      <c r="AB185" s="185">
        <v>286.88380199999995</v>
      </c>
      <c r="AC185" s="185">
        <v>132.97994</v>
      </c>
      <c r="AD185" s="185">
        <v>1750</v>
      </c>
      <c r="AE185" s="186">
        <v>11.400000000000091</v>
      </c>
      <c r="AF185" s="183">
        <v>0.22800000000000181</v>
      </c>
      <c r="AG185" s="186">
        <v>22.800000000000182</v>
      </c>
      <c r="AH185" s="183">
        <v>0.22800000000000181</v>
      </c>
    </row>
    <row r="186" spans="3:34" x14ac:dyDescent="0.25">
      <c r="C186" s="181">
        <v>1760</v>
      </c>
      <c r="D186" s="183">
        <v>0</v>
      </c>
      <c r="E186" s="185">
        <v>195</v>
      </c>
      <c r="F186" s="181">
        <v>195</v>
      </c>
      <c r="G186" s="185">
        <v>1565</v>
      </c>
      <c r="H186" s="185">
        <v>85.818599999999989</v>
      </c>
      <c r="I186" s="185">
        <v>71.37</v>
      </c>
      <c r="J186" s="185">
        <v>15.011999999999999</v>
      </c>
      <c r="K186" s="181">
        <v>48</v>
      </c>
      <c r="P186" s="186">
        <v>220.20060000000001</v>
      </c>
      <c r="Q186" s="186">
        <v>1344.7993999999999</v>
      </c>
      <c r="R186" s="183">
        <v>0.33</v>
      </c>
      <c r="S186" s="185">
        <v>-153.6</v>
      </c>
      <c r="T186" s="185">
        <v>290.18380200000001</v>
      </c>
      <c r="U186" s="185">
        <v>133.97994</v>
      </c>
      <c r="V186" s="187">
        <v>303.83380199999999</v>
      </c>
      <c r="X186" s="185">
        <v>1760</v>
      </c>
      <c r="Y186" s="185">
        <v>1163.6356579999999</v>
      </c>
      <c r="Z186" s="183">
        <v>0.66115662386363627</v>
      </c>
      <c r="AA186" s="185">
        <v>172.20060000000001</v>
      </c>
      <c r="AB186" s="185">
        <v>290.18380200000001</v>
      </c>
      <c r="AC186" s="185">
        <v>133.97994</v>
      </c>
      <c r="AD186" s="185">
        <v>1760</v>
      </c>
      <c r="AE186" s="186">
        <v>11.399999999999864</v>
      </c>
      <c r="AF186" s="183">
        <v>0.22799999999999726</v>
      </c>
      <c r="AG186" s="186">
        <v>22.799999999999955</v>
      </c>
      <c r="AH186" s="183">
        <v>0.22799999999999954</v>
      </c>
    </row>
    <row r="187" spans="3:34" x14ac:dyDescent="0.25">
      <c r="C187" s="181">
        <v>1770</v>
      </c>
      <c r="D187" s="183">
        <v>0</v>
      </c>
      <c r="E187" s="185">
        <v>195</v>
      </c>
      <c r="F187" s="181">
        <v>195</v>
      </c>
      <c r="G187" s="185">
        <v>1575</v>
      </c>
      <c r="H187" s="185">
        <v>85.818599999999989</v>
      </c>
      <c r="I187" s="185">
        <v>71.37</v>
      </c>
      <c r="J187" s="185">
        <v>15.011999999999999</v>
      </c>
      <c r="K187" s="181">
        <v>48</v>
      </c>
      <c r="P187" s="186">
        <v>220.20060000000001</v>
      </c>
      <c r="Q187" s="186">
        <v>1354.7993999999999</v>
      </c>
      <c r="R187" s="183">
        <v>0.33</v>
      </c>
      <c r="S187" s="185">
        <v>-153.6</v>
      </c>
      <c r="T187" s="185">
        <v>293.48380199999997</v>
      </c>
      <c r="U187" s="185">
        <v>134.97994</v>
      </c>
      <c r="V187" s="187">
        <v>307.13380199999995</v>
      </c>
      <c r="X187" s="185">
        <v>1770</v>
      </c>
      <c r="Y187" s="185">
        <v>1169.335658</v>
      </c>
      <c r="Z187" s="183">
        <v>0.66064161468926552</v>
      </c>
      <c r="AA187" s="185">
        <v>172.20060000000001</v>
      </c>
      <c r="AB187" s="185">
        <v>293.48380199999997</v>
      </c>
      <c r="AC187" s="185">
        <v>134.97994</v>
      </c>
      <c r="AD187" s="185">
        <v>1770</v>
      </c>
      <c r="AE187" s="186">
        <v>11.399999999999864</v>
      </c>
      <c r="AF187" s="183">
        <v>0.22799999999999726</v>
      </c>
      <c r="AG187" s="186">
        <v>22.799999999999955</v>
      </c>
      <c r="AH187" s="183">
        <v>0.22799999999999954</v>
      </c>
    </row>
    <row r="188" spans="3:34" x14ac:dyDescent="0.25">
      <c r="C188" s="181">
        <v>1780</v>
      </c>
      <c r="D188" s="183">
        <v>0</v>
      </c>
      <c r="E188" s="185">
        <v>195</v>
      </c>
      <c r="F188" s="181">
        <v>195</v>
      </c>
      <c r="G188" s="185">
        <v>1585</v>
      </c>
      <c r="H188" s="185">
        <v>85.818599999999989</v>
      </c>
      <c r="I188" s="185">
        <v>71.37</v>
      </c>
      <c r="J188" s="185">
        <v>15.011999999999999</v>
      </c>
      <c r="K188" s="181">
        <v>48</v>
      </c>
      <c r="P188" s="186">
        <v>220.20060000000001</v>
      </c>
      <c r="Q188" s="186">
        <v>1364.7993999999999</v>
      </c>
      <c r="R188" s="183">
        <v>0.33</v>
      </c>
      <c r="S188" s="185">
        <v>-153.6</v>
      </c>
      <c r="T188" s="185">
        <v>296.78380200000004</v>
      </c>
      <c r="U188" s="185">
        <v>135.97994</v>
      </c>
      <c r="V188" s="187">
        <v>310.43380200000001</v>
      </c>
      <c r="X188" s="185">
        <v>1780</v>
      </c>
      <c r="Y188" s="185">
        <v>1175.035658</v>
      </c>
      <c r="Z188" s="183">
        <v>0.66013239213483144</v>
      </c>
      <c r="AA188" s="185">
        <v>172.20060000000001</v>
      </c>
      <c r="AB188" s="185">
        <v>296.78380200000004</v>
      </c>
      <c r="AC188" s="185">
        <v>135.97994</v>
      </c>
      <c r="AD188" s="185">
        <v>1780</v>
      </c>
      <c r="AE188" s="186">
        <v>11.400000000000091</v>
      </c>
      <c r="AF188" s="183">
        <v>0.22800000000000181</v>
      </c>
      <c r="AG188" s="186">
        <v>22.799999999999955</v>
      </c>
      <c r="AH188" s="183">
        <v>0.22799999999999954</v>
      </c>
    </row>
    <row r="189" spans="3:34" x14ac:dyDescent="0.25">
      <c r="C189" s="181">
        <v>1790</v>
      </c>
      <c r="D189" s="183">
        <v>0</v>
      </c>
      <c r="E189" s="185">
        <v>195</v>
      </c>
      <c r="F189" s="181">
        <v>195</v>
      </c>
      <c r="G189" s="185">
        <v>1595</v>
      </c>
      <c r="H189" s="185">
        <v>85.818599999999989</v>
      </c>
      <c r="I189" s="185">
        <v>71.37</v>
      </c>
      <c r="J189" s="185">
        <v>15.011999999999999</v>
      </c>
      <c r="K189" s="181">
        <v>48</v>
      </c>
      <c r="P189" s="186">
        <v>220.20060000000001</v>
      </c>
      <c r="Q189" s="186">
        <v>1374.7993999999999</v>
      </c>
      <c r="R189" s="183">
        <v>0.33</v>
      </c>
      <c r="S189" s="185">
        <v>-153.6</v>
      </c>
      <c r="T189" s="185">
        <v>300.08380199999999</v>
      </c>
      <c r="U189" s="185">
        <v>136.97994</v>
      </c>
      <c r="V189" s="187">
        <v>313.73380199999997</v>
      </c>
      <c r="X189" s="185">
        <v>1790</v>
      </c>
      <c r="Y189" s="185">
        <v>1180.7356580000001</v>
      </c>
      <c r="Z189" s="183">
        <v>0.65962885921787717</v>
      </c>
      <c r="AA189" s="185">
        <v>172.20060000000001</v>
      </c>
      <c r="AB189" s="185">
        <v>300.08380199999999</v>
      </c>
      <c r="AC189" s="185">
        <v>136.97994</v>
      </c>
      <c r="AD189" s="185">
        <v>1790</v>
      </c>
      <c r="AE189" s="186">
        <v>11.400000000000091</v>
      </c>
      <c r="AF189" s="183">
        <v>0.22800000000000181</v>
      </c>
      <c r="AG189" s="186">
        <v>22.799999999999955</v>
      </c>
      <c r="AH189" s="183">
        <v>0.22799999999999954</v>
      </c>
    </row>
    <row r="190" spans="3:34" x14ac:dyDescent="0.25">
      <c r="C190" s="181">
        <v>1800</v>
      </c>
      <c r="D190" s="183">
        <v>0</v>
      </c>
      <c r="E190" s="185">
        <v>195</v>
      </c>
      <c r="F190" s="181">
        <v>195</v>
      </c>
      <c r="G190" s="185">
        <v>1605</v>
      </c>
      <c r="H190" s="185">
        <v>85.818599999999989</v>
      </c>
      <c r="I190" s="185">
        <v>71.37</v>
      </c>
      <c r="J190" s="185">
        <v>15.011999999999999</v>
      </c>
      <c r="K190" s="181">
        <v>48</v>
      </c>
      <c r="P190" s="186">
        <v>220.20060000000001</v>
      </c>
      <c r="Q190" s="186">
        <v>1384.7993999999999</v>
      </c>
      <c r="R190" s="183">
        <v>0.33</v>
      </c>
      <c r="S190" s="185">
        <v>-153.6</v>
      </c>
      <c r="T190" s="185">
        <v>303.38380199999995</v>
      </c>
      <c r="U190" s="185">
        <v>137.97994</v>
      </c>
      <c r="V190" s="187">
        <v>317.03380199999992</v>
      </c>
      <c r="X190" s="185">
        <v>1800</v>
      </c>
      <c r="Y190" s="185">
        <v>1186.4356580000001</v>
      </c>
      <c r="Z190" s="183">
        <v>0.65913092111111116</v>
      </c>
      <c r="AA190" s="185">
        <v>172.20060000000001</v>
      </c>
      <c r="AB190" s="185">
        <v>303.38380199999995</v>
      </c>
      <c r="AC190" s="185">
        <v>137.97994</v>
      </c>
      <c r="AD190" s="185">
        <v>1800</v>
      </c>
      <c r="AE190" s="186">
        <v>11.400000000000091</v>
      </c>
      <c r="AF190" s="183">
        <v>0.22800000000000181</v>
      </c>
      <c r="AG190" s="186">
        <v>22.800000000000182</v>
      </c>
      <c r="AH190" s="183">
        <v>0.22800000000000181</v>
      </c>
    </row>
    <row r="191" spans="3:34" x14ac:dyDescent="0.25">
      <c r="C191" s="181">
        <v>1810</v>
      </c>
      <c r="D191" s="183">
        <v>0</v>
      </c>
      <c r="E191" s="185">
        <v>195</v>
      </c>
      <c r="F191" s="181">
        <v>195</v>
      </c>
      <c r="G191" s="185">
        <v>1615</v>
      </c>
      <c r="H191" s="185">
        <v>85.818599999999989</v>
      </c>
      <c r="I191" s="185">
        <v>71.37</v>
      </c>
      <c r="J191" s="185">
        <v>15.011999999999999</v>
      </c>
      <c r="K191" s="181">
        <v>48</v>
      </c>
      <c r="P191" s="186">
        <v>220.20060000000001</v>
      </c>
      <c r="Q191" s="186">
        <v>1394.7993999999999</v>
      </c>
      <c r="R191" s="183">
        <v>0.33</v>
      </c>
      <c r="S191" s="185">
        <v>-153.6</v>
      </c>
      <c r="T191" s="185">
        <v>306.68380200000001</v>
      </c>
      <c r="U191" s="185">
        <v>138.97994</v>
      </c>
      <c r="V191" s="187">
        <v>320.33380199999999</v>
      </c>
      <c r="X191" s="185">
        <v>1810</v>
      </c>
      <c r="Y191" s="185">
        <v>1192.1356579999999</v>
      </c>
      <c r="Z191" s="183">
        <v>0.65863848508287293</v>
      </c>
      <c r="AA191" s="185">
        <v>172.20060000000001</v>
      </c>
      <c r="AB191" s="185">
        <v>306.68380200000001</v>
      </c>
      <c r="AC191" s="185">
        <v>138.97994</v>
      </c>
      <c r="AD191" s="185">
        <v>1810</v>
      </c>
      <c r="AE191" s="186">
        <v>11.399999999999864</v>
      </c>
      <c r="AF191" s="183">
        <v>0.22799999999999726</v>
      </c>
      <c r="AG191" s="186">
        <v>22.799999999999955</v>
      </c>
      <c r="AH191" s="183">
        <v>0.22799999999999954</v>
      </c>
    </row>
    <row r="192" spans="3:34" x14ac:dyDescent="0.25">
      <c r="C192" s="181">
        <v>1820</v>
      </c>
      <c r="D192" s="183">
        <v>0</v>
      </c>
      <c r="E192" s="185">
        <v>195</v>
      </c>
      <c r="F192" s="181">
        <v>195</v>
      </c>
      <c r="G192" s="185">
        <v>1625</v>
      </c>
      <c r="H192" s="185">
        <v>85.818599999999989</v>
      </c>
      <c r="I192" s="185">
        <v>71.37</v>
      </c>
      <c r="J192" s="185">
        <v>15.011999999999999</v>
      </c>
      <c r="K192" s="181">
        <v>48</v>
      </c>
      <c r="P192" s="186">
        <v>220.20060000000001</v>
      </c>
      <c r="Q192" s="186">
        <v>1404.7993999999999</v>
      </c>
      <c r="R192" s="183">
        <v>0.33</v>
      </c>
      <c r="S192" s="185">
        <v>-153.6</v>
      </c>
      <c r="T192" s="185">
        <v>309.98380199999997</v>
      </c>
      <c r="U192" s="185">
        <v>139.97994</v>
      </c>
      <c r="V192" s="187">
        <v>323.63380199999995</v>
      </c>
      <c r="X192" s="185">
        <v>1820</v>
      </c>
      <c r="Y192" s="185">
        <v>1197.835658</v>
      </c>
      <c r="Z192" s="183">
        <v>0.65815146043956041</v>
      </c>
      <c r="AA192" s="185">
        <v>172.20060000000001</v>
      </c>
      <c r="AB192" s="185">
        <v>309.98380199999997</v>
      </c>
      <c r="AC192" s="185">
        <v>139.97994</v>
      </c>
      <c r="AD192" s="185">
        <v>1820</v>
      </c>
      <c r="AE192" s="186">
        <v>11.399999999999864</v>
      </c>
      <c r="AF192" s="183">
        <v>0.22799999999999726</v>
      </c>
      <c r="AG192" s="186">
        <v>22.799999999999955</v>
      </c>
      <c r="AH192" s="183">
        <v>0.22799999999999954</v>
      </c>
    </row>
    <row r="193" spans="3:34" x14ac:dyDescent="0.25">
      <c r="C193" s="181">
        <v>1830</v>
      </c>
      <c r="D193" s="183">
        <v>0</v>
      </c>
      <c r="E193" s="185">
        <v>195</v>
      </c>
      <c r="F193" s="181">
        <v>195</v>
      </c>
      <c r="G193" s="185">
        <v>1635</v>
      </c>
      <c r="H193" s="185">
        <v>85.818599999999989</v>
      </c>
      <c r="I193" s="185">
        <v>71.37</v>
      </c>
      <c r="J193" s="185">
        <v>15.011999999999999</v>
      </c>
      <c r="K193" s="181">
        <v>48</v>
      </c>
      <c r="P193" s="186">
        <v>220.20060000000001</v>
      </c>
      <c r="Q193" s="186">
        <v>1414.7993999999999</v>
      </c>
      <c r="R193" s="183">
        <v>0.33</v>
      </c>
      <c r="S193" s="185">
        <v>-153.6</v>
      </c>
      <c r="T193" s="185">
        <v>313.28380200000004</v>
      </c>
      <c r="U193" s="185">
        <v>140.97994</v>
      </c>
      <c r="V193" s="187">
        <v>326.93380200000001</v>
      </c>
      <c r="X193" s="185">
        <v>1830</v>
      </c>
      <c r="Y193" s="185">
        <v>1203.535658</v>
      </c>
      <c r="Z193" s="183">
        <v>0.65766975846994535</v>
      </c>
      <c r="AA193" s="185">
        <v>172.20060000000001</v>
      </c>
      <c r="AB193" s="185">
        <v>313.28380200000004</v>
      </c>
      <c r="AC193" s="185">
        <v>140.97994</v>
      </c>
      <c r="AD193" s="185">
        <v>1830</v>
      </c>
      <c r="AE193" s="186">
        <v>11.400000000000091</v>
      </c>
      <c r="AF193" s="183">
        <v>0.22800000000000181</v>
      </c>
      <c r="AG193" s="186">
        <v>22.799999999999955</v>
      </c>
      <c r="AH193" s="183">
        <v>0.22799999999999954</v>
      </c>
    </row>
    <row r="194" spans="3:34" x14ac:dyDescent="0.25">
      <c r="C194" s="181">
        <v>1840</v>
      </c>
      <c r="D194" s="183">
        <v>0</v>
      </c>
      <c r="E194" s="185">
        <v>195</v>
      </c>
      <c r="F194" s="181">
        <v>195</v>
      </c>
      <c r="G194" s="185">
        <v>1645</v>
      </c>
      <c r="H194" s="185">
        <v>85.818599999999989</v>
      </c>
      <c r="I194" s="185">
        <v>71.37</v>
      </c>
      <c r="J194" s="185">
        <v>15.011999999999999</v>
      </c>
      <c r="K194" s="181">
        <v>48</v>
      </c>
      <c r="P194" s="186">
        <v>220.20060000000001</v>
      </c>
      <c r="Q194" s="186">
        <v>1424.7993999999999</v>
      </c>
      <c r="R194" s="183">
        <v>0.33</v>
      </c>
      <c r="S194" s="185">
        <v>-153.6</v>
      </c>
      <c r="T194" s="185">
        <v>316.58380199999999</v>
      </c>
      <c r="U194" s="185">
        <v>141.97994</v>
      </c>
      <c r="V194" s="187">
        <v>330.23380199999997</v>
      </c>
      <c r="X194" s="185">
        <v>1840</v>
      </c>
      <c r="Y194" s="185">
        <v>1209.2356580000001</v>
      </c>
      <c r="Z194" s="183">
        <v>0.65719329239130442</v>
      </c>
      <c r="AA194" s="185">
        <v>172.20060000000001</v>
      </c>
      <c r="AB194" s="185">
        <v>316.58380199999999</v>
      </c>
      <c r="AC194" s="185">
        <v>141.97994</v>
      </c>
      <c r="AD194" s="185">
        <v>1840</v>
      </c>
      <c r="AE194" s="186">
        <v>11.400000000000091</v>
      </c>
      <c r="AF194" s="183">
        <v>0.22800000000000181</v>
      </c>
      <c r="AG194" s="186">
        <v>22.799999999999955</v>
      </c>
      <c r="AH194" s="183">
        <v>0.22799999999999954</v>
      </c>
    </row>
    <row r="195" spans="3:34" x14ac:dyDescent="0.25">
      <c r="C195" s="181">
        <v>1850</v>
      </c>
      <c r="D195" s="183">
        <v>0</v>
      </c>
      <c r="E195" s="185">
        <v>195</v>
      </c>
      <c r="F195" s="181">
        <v>195</v>
      </c>
      <c r="G195" s="185">
        <v>1655</v>
      </c>
      <c r="H195" s="185">
        <v>85.818599999999989</v>
      </c>
      <c r="I195" s="185">
        <v>71.37</v>
      </c>
      <c r="J195" s="185">
        <v>15.011999999999999</v>
      </c>
      <c r="K195" s="181">
        <v>48</v>
      </c>
      <c r="P195" s="186">
        <v>220.20060000000001</v>
      </c>
      <c r="Q195" s="186">
        <v>1434.7993999999999</v>
      </c>
      <c r="R195" s="183">
        <v>0.33</v>
      </c>
      <c r="S195" s="185">
        <v>-153.6</v>
      </c>
      <c r="T195" s="185">
        <v>319.88380199999995</v>
      </c>
      <c r="U195" s="185">
        <v>142.97994</v>
      </c>
      <c r="V195" s="187">
        <v>333.53380199999992</v>
      </c>
      <c r="X195" s="185">
        <v>1850</v>
      </c>
      <c r="Y195" s="185">
        <v>1214.9356580000001</v>
      </c>
      <c r="Z195" s="183">
        <v>0.65672197729729731</v>
      </c>
      <c r="AA195" s="185">
        <v>172.20060000000001</v>
      </c>
      <c r="AB195" s="185">
        <v>319.88380199999995</v>
      </c>
      <c r="AC195" s="185">
        <v>142.97994</v>
      </c>
      <c r="AD195" s="185">
        <v>1850</v>
      </c>
      <c r="AE195" s="186">
        <v>11.400000000000091</v>
      </c>
      <c r="AF195" s="183">
        <v>0.22800000000000181</v>
      </c>
      <c r="AG195" s="186">
        <v>22.800000000000182</v>
      </c>
      <c r="AH195" s="183">
        <v>0.22800000000000181</v>
      </c>
    </row>
    <row r="196" spans="3:34" x14ac:dyDescent="0.25">
      <c r="C196" s="181">
        <v>1860</v>
      </c>
      <c r="D196" s="183">
        <v>0</v>
      </c>
      <c r="E196" s="185">
        <v>195</v>
      </c>
      <c r="F196" s="181">
        <v>195</v>
      </c>
      <c r="G196" s="185">
        <v>1665</v>
      </c>
      <c r="H196" s="185">
        <v>85.818599999999989</v>
      </c>
      <c r="I196" s="185">
        <v>71.37</v>
      </c>
      <c r="J196" s="185">
        <v>15.011999999999999</v>
      </c>
      <c r="K196" s="181">
        <v>48</v>
      </c>
      <c r="P196" s="186">
        <v>220.20060000000001</v>
      </c>
      <c r="Q196" s="186">
        <v>1444.7993999999999</v>
      </c>
      <c r="R196" s="183">
        <v>0.33</v>
      </c>
      <c r="S196" s="185">
        <v>-153.6</v>
      </c>
      <c r="T196" s="185">
        <v>323.18380200000001</v>
      </c>
      <c r="U196" s="185">
        <v>143.97994</v>
      </c>
      <c r="V196" s="187">
        <v>336.83380199999999</v>
      </c>
      <c r="X196" s="185">
        <v>1860</v>
      </c>
      <c r="Y196" s="185">
        <v>1220.6356579999999</v>
      </c>
      <c r="Z196" s="183">
        <v>0.6562557301075268</v>
      </c>
      <c r="AA196" s="185">
        <v>172.20060000000001</v>
      </c>
      <c r="AB196" s="185">
        <v>323.18380200000001</v>
      </c>
      <c r="AC196" s="185">
        <v>143.97994</v>
      </c>
      <c r="AD196" s="185">
        <v>1860</v>
      </c>
      <c r="AE196" s="186">
        <v>11.399999999999864</v>
      </c>
      <c r="AF196" s="183">
        <v>0.22799999999999726</v>
      </c>
      <c r="AG196" s="186">
        <v>22.799999999999955</v>
      </c>
      <c r="AH196" s="183">
        <v>0.22799999999999954</v>
      </c>
    </row>
    <row r="197" spans="3:34" x14ac:dyDescent="0.25">
      <c r="C197" s="181">
        <v>1870</v>
      </c>
      <c r="D197" s="183">
        <v>0</v>
      </c>
      <c r="E197" s="185">
        <v>195</v>
      </c>
      <c r="F197" s="181">
        <v>195</v>
      </c>
      <c r="G197" s="185">
        <v>1675</v>
      </c>
      <c r="H197" s="185">
        <v>85.818599999999989</v>
      </c>
      <c r="I197" s="185">
        <v>71.37</v>
      </c>
      <c r="J197" s="185">
        <v>15.011999999999999</v>
      </c>
      <c r="K197" s="181">
        <v>48</v>
      </c>
      <c r="P197" s="186">
        <v>220.20060000000001</v>
      </c>
      <c r="Q197" s="186">
        <v>1454.7993999999999</v>
      </c>
      <c r="R197" s="183">
        <v>0.33</v>
      </c>
      <c r="S197" s="185">
        <v>-153.6</v>
      </c>
      <c r="T197" s="185">
        <v>326.48380199999997</v>
      </c>
      <c r="U197" s="185">
        <v>144.97994</v>
      </c>
      <c r="V197" s="187">
        <v>340.13380199999995</v>
      </c>
      <c r="X197" s="185">
        <v>1870</v>
      </c>
      <c r="Y197" s="185">
        <v>1226.335658</v>
      </c>
      <c r="Z197" s="183">
        <v>0.65579446951871656</v>
      </c>
      <c r="AA197" s="185">
        <v>172.20060000000001</v>
      </c>
      <c r="AB197" s="185">
        <v>326.48380199999997</v>
      </c>
      <c r="AC197" s="185">
        <v>144.97994</v>
      </c>
      <c r="AD197" s="185">
        <v>1870</v>
      </c>
      <c r="AE197" s="186">
        <v>11.399999999999864</v>
      </c>
      <c r="AF197" s="183">
        <v>0.22799999999999726</v>
      </c>
      <c r="AG197" s="186">
        <v>22.799999999999955</v>
      </c>
      <c r="AH197" s="183">
        <v>0.22799999999999954</v>
      </c>
    </row>
    <row r="198" spans="3:34" x14ac:dyDescent="0.25">
      <c r="C198" s="181">
        <v>1880</v>
      </c>
      <c r="D198" s="183">
        <v>0</v>
      </c>
      <c r="E198" s="185">
        <v>195</v>
      </c>
      <c r="F198" s="181">
        <v>195</v>
      </c>
      <c r="G198" s="185">
        <v>1685</v>
      </c>
      <c r="H198" s="185">
        <v>85.818599999999989</v>
      </c>
      <c r="I198" s="185">
        <v>71.37</v>
      </c>
      <c r="J198" s="185">
        <v>15.011999999999999</v>
      </c>
      <c r="K198" s="181">
        <v>48</v>
      </c>
      <c r="P198" s="186">
        <v>220.20060000000001</v>
      </c>
      <c r="Q198" s="186">
        <v>1464.7993999999999</v>
      </c>
      <c r="R198" s="183">
        <v>0.33</v>
      </c>
      <c r="S198" s="185">
        <v>-153.6</v>
      </c>
      <c r="T198" s="185">
        <v>329.78380200000004</v>
      </c>
      <c r="U198" s="185">
        <v>145.97994</v>
      </c>
      <c r="V198" s="187">
        <v>343.43380200000001</v>
      </c>
      <c r="X198" s="185">
        <v>1880</v>
      </c>
      <c r="Y198" s="185">
        <v>1232.035658</v>
      </c>
      <c r="Z198" s="183">
        <v>0.65533811595744684</v>
      </c>
      <c r="AA198" s="185">
        <v>172.20060000000001</v>
      </c>
      <c r="AB198" s="185">
        <v>329.78380200000004</v>
      </c>
      <c r="AC198" s="185">
        <v>145.97994</v>
      </c>
      <c r="AD198" s="185">
        <v>1880</v>
      </c>
      <c r="AE198" s="186">
        <v>11.400000000000091</v>
      </c>
      <c r="AF198" s="183">
        <v>0.22800000000000181</v>
      </c>
      <c r="AG198" s="186">
        <v>22.799999999999955</v>
      </c>
      <c r="AH198" s="183">
        <v>0.22799999999999954</v>
      </c>
    </row>
    <row r="199" spans="3:34" x14ac:dyDescent="0.25">
      <c r="C199" s="181">
        <v>1890</v>
      </c>
      <c r="D199" s="183">
        <v>0</v>
      </c>
      <c r="E199" s="185">
        <v>195</v>
      </c>
      <c r="F199" s="181">
        <v>195</v>
      </c>
      <c r="G199" s="185">
        <v>1695</v>
      </c>
      <c r="H199" s="185">
        <v>85.818599999999989</v>
      </c>
      <c r="I199" s="185">
        <v>71.37</v>
      </c>
      <c r="J199" s="185">
        <v>15.011999999999999</v>
      </c>
      <c r="K199" s="181">
        <v>48</v>
      </c>
      <c r="P199" s="186">
        <v>220.20060000000001</v>
      </c>
      <c r="Q199" s="186">
        <v>1474.7993999999999</v>
      </c>
      <c r="R199" s="183">
        <v>0.33</v>
      </c>
      <c r="S199" s="185">
        <v>-153.6</v>
      </c>
      <c r="T199" s="185">
        <v>333.08380199999999</v>
      </c>
      <c r="U199" s="185">
        <v>146.97994</v>
      </c>
      <c r="V199" s="187">
        <v>346.73380199999997</v>
      </c>
      <c r="X199" s="185">
        <v>1890</v>
      </c>
      <c r="Y199" s="185">
        <v>1237.7356580000001</v>
      </c>
      <c r="Z199" s="183">
        <v>0.65488659153439155</v>
      </c>
      <c r="AA199" s="185">
        <v>172.20060000000001</v>
      </c>
      <c r="AB199" s="185">
        <v>333.08380199999999</v>
      </c>
      <c r="AC199" s="185">
        <v>146.97994</v>
      </c>
      <c r="AD199" s="185">
        <v>1890</v>
      </c>
      <c r="AE199" s="186">
        <v>11.400000000000091</v>
      </c>
      <c r="AF199" s="183">
        <v>0.22800000000000181</v>
      </c>
      <c r="AG199" s="186">
        <v>22.799999999999955</v>
      </c>
      <c r="AH199" s="183">
        <v>0.22799999999999954</v>
      </c>
    </row>
    <row r="200" spans="3:34" x14ac:dyDescent="0.25">
      <c r="C200" s="181">
        <v>1900</v>
      </c>
      <c r="D200" s="183">
        <v>0</v>
      </c>
      <c r="E200" s="185">
        <v>195</v>
      </c>
      <c r="F200" s="181">
        <v>195</v>
      </c>
      <c r="G200" s="185">
        <v>1705</v>
      </c>
      <c r="H200" s="185">
        <v>85.818599999999989</v>
      </c>
      <c r="I200" s="185">
        <v>71.37</v>
      </c>
      <c r="J200" s="185">
        <v>15.011999999999999</v>
      </c>
      <c r="K200" s="181">
        <v>48</v>
      </c>
      <c r="P200" s="186">
        <v>220.20060000000001</v>
      </c>
      <c r="Q200" s="186">
        <v>1484.7993999999999</v>
      </c>
      <c r="R200" s="183">
        <v>0.33</v>
      </c>
      <c r="S200" s="185">
        <v>-153.6</v>
      </c>
      <c r="T200" s="185">
        <v>336.38380199999995</v>
      </c>
      <c r="U200" s="185">
        <v>147.97994</v>
      </c>
      <c r="V200" s="187">
        <v>350.03380199999992</v>
      </c>
      <c r="X200" s="185">
        <v>1900</v>
      </c>
      <c r="Y200" s="185">
        <v>1243.4356580000001</v>
      </c>
      <c r="Z200" s="183">
        <v>0.65443982000000001</v>
      </c>
      <c r="AA200" s="185">
        <v>172.20060000000001</v>
      </c>
      <c r="AB200" s="185">
        <v>336.38380199999995</v>
      </c>
      <c r="AC200" s="185">
        <v>147.97994</v>
      </c>
      <c r="AD200" s="185">
        <v>1900</v>
      </c>
      <c r="AE200" s="186">
        <v>11.400000000000091</v>
      </c>
      <c r="AF200" s="183">
        <v>0.22800000000000181</v>
      </c>
      <c r="AG200" s="186">
        <v>22.800000000000182</v>
      </c>
      <c r="AH200" s="183">
        <v>0.22800000000000181</v>
      </c>
    </row>
    <row r="201" spans="3:34" x14ac:dyDescent="0.25">
      <c r="C201" s="181">
        <v>1910</v>
      </c>
      <c r="D201" s="183">
        <v>0</v>
      </c>
      <c r="E201" s="185">
        <v>195</v>
      </c>
      <c r="F201" s="181">
        <v>195</v>
      </c>
      <c r="G201" s="185">
        <v>1715</v>
      </c>
      <c r="H201" s="185">
        <v>85.818599999999989</v>
      </c>
      <c r="I201" s="185">
        <v>71.37</v>
      </c>
      <c r="J201" s="185">
        <v>15.011999999999999</v>
      </c>
      <c r="K201" s="181">
        <v>48</v>
      </c>
      <c r="P201" s="186">
        <v>220.20060000000001</v>
      </c>
      <c r="Q201" s="186">
        <v>1494.7993999999999</v>
      </c>
      <c r="R201" s="183">
        <v>0.33</v>
      </c>
      <c r="S201" s="185">
        <v>-153.6</v>
      </c>
      <c r="T201" s="185">
        <v>339.68380200000001</v>
      </c>
      <c r="U201" s="185">
        <v>148.97994</v>
      </c>
      <c r="V201" s="187">
        <v>353.33380199999999</v>
      </c>
      <c r="X201" s="185">
        <v>1910</v>
      </c>
      <c r="Y201" s="185">
        <v>1249.1356579999999</v>
      </c>
      <c r="Z201" s="183">
        <v>0.65399772670157064</v>
      </c>
      <c r="AA201" s="185">
        <v>172.20060000000001</v>
      </c>
      <c r="AB201" s="185">
        <v>339.68380200000001</v>
      </c>
      <c r="AC201" s="185">
        <v>148.97994</v>
      </c>
      <c r="AD201" s="185">
        <v>1910</v>
      </c>
      <c r="AE201" s="186">
        <v>11.399999999999864</v>
      </c>
      <c r="AF201" s="183">
        <v>0.22799999999999726</v>
      </c>
      <c r="AG201" s="186">
        <v>22.799999999999955</v>
      </c>
      <c r="AH201" s="183">
        <v>0.22799999999999954</v>
      </c>
    </row>
    <row r="202" spans="3:34" x14ac:dyDescent="0.25">
      <c r="C202" s="181">
        <v>1920</v>
      </c>
      <c r="D202" s="183">
        <v>0</v>
      </c>
      <c r="E202" s="185">
        <v>195</v>
      </c>
      <c r="F202" s="181">
        <v>195</v>
      </c>
      <c r="G202" s="185">
        <v>1725</v>
      </c>
      <c r="H202" s="185">
        <v>85.818599999999989</v>
      </c>
      <c r="I202" s="185">
        <v>71.37</v>
      </c>
      <c r="J202" s="185">
        <v>15.011999999999999</v>
      </c>
      <c r="K202" s="181">
        <v>48</v>
      </c>
      <c r="P202" s="186">
        <v>220.20060000000001</v>
      </c>
      <c r="Q202" s="186">
        <v>1504.7993999999999</v>
      </c>
      <c r="R202" s="183">
        <v>0.33</v>
      </c>
      <c r="S202" s="185">
        <v>-153.6</v>
      </c>
      <c r="T202" s="185">
        <v>342.98380199999997</v>
      </c>
      <c r="U202" s="185">
        <v>149.97994</v>
      </c>
      <c r="V202" s="187">
        <v>356.63380199999995</v>
      </c>
      <c r="X202" s="185">
        <v>1920</v>
      </c>
      <c r="Y202" s="185">
        <v>1254.835658</v>
      </c>
      <c r="Z202" s="183">
        <v>0.65356023854166667</v>
      </c>
      <c r="AA202" s="185">
        <v>172.20060000000001</v>
      </c>
      <c r="AB202" s="185">
        <v>342.98380199999997</v>
      </c>
      <c r="AC202" s="185">
        <v>149.97994</v>
      </c>
      <c r="AD202" s="185">
        <v>1920</v>
      </c>
      <c r="AE202" s="186">
        <v>11.399999999999864</v>
      </c>
      <c r="AF202" s="183">
        <v>0.22799999999999726</v>
      </c>
      <c r="AG202" s="186">
        <v>22.799999999999955</v>
      </c>
      <c r="AH202" s="183">
        <v>0.22799999999999954</v>
      </c>
    </row>
    <row r="203" spans="3:34" x14ac:dyDescent="0.25">
      <c r="C203" s="181">
        <v>1930</v>
      </c>
      <c r="D203" s="183">
        <v>0</v>
      </c>
      <c r="E203" s="185">
        <v>195</v>
      </c>
      <c r="F203" s="181">
        <v>195</v>
      </c>
      <c r="G203" s="185">
        <v>1735</v>
      </c>
      <c r="H203" s="185">
        <v>85.818599999999989</v>
      </c>
      <c r="I203" s="185">
        <v>71.37</v>
      </c>
      <c r="J203" s="185">
        <v>15.011999999999999</v>
      </c>
      <c r="K203" s="181">
        <v>48</v>
      </c>
      <c r="P203" s="186">
        <v>220.20060000000001</v>
      </c>
      <c r="Q203" s="186">
        <v>1514.7993999999999</v>
      </c>
      <c r="R203" s="183">
        <v>0.33</v>
      </c>
      <c r="S203" s="185">
        <v>-153.6</v>
      </c>
      <c r="T203" s="185">
        <v>346.28380200000004</v>
      </c>
      <c r="U203" s="185">
        <v>150.97994</v>
      </c>
      <c r="V203" s="187">
        <v>359.93380200000001</v>
      </c>
      <c r="X203" s="185">
        <v>1930</v>
      </c>
      <c r="Y203" s="185">
        <v>1260.535658</v>
      </c>
      <c r="Z203" s="183">
        <v>0.65312728393782382</v>
      </c>
      <c r="AA203" s="185">
        <v>172.20060000000001</v>
      </c>
      <c r="AB203" s="185">
        <v>346.28380200000004</v>
      </c>
      <c r="AC203" s="185">
        <v>150.97994</v>
      </c>
      <c r="AD203" s="185">
        <v>1930</v>
      </c>
      <c r="AE203" s="186">
        <v>11.400000000000091</v>
      </c>
      <c r="AF203" s="183">
        <v>0.22800000000000181</v>
      </c>
      <c r="AG203" s="186">
        <v>22.799999999999955</v>
      </c>
      <c r="AH203" s="183">
        <v>0.22799999999999954</v>
      </c>
    </row>
    <row r="204" spans="3:34" x14ac:dyDescent="0.25">
      <c r="C204" s="181">
        <v>1940</v>
      </c>
      <c r="D204" s="183">
        <v>0</v>
      </c>
      <c r="E204" s="185">
        <v>195</v>
      </c>
      <c r="F204" s="181">
        <v>195</v>
      </c>
      <c r="G204" s="185">
        <v>1745</v>
      </c>
      <c r="H204" s="185">
        <v>85.818599999999989</v>
      </c>
      <c r="I204" s="185">
        <v>71.37</v>
      </c>
      <c r="J204" s="185">
        <v>15.011999999999999</v>
      </c>
      <c r="K204" s="181">
        <v>48</v>
      </c>
      <c r="P204" s="186">
        <v>220.20060000000001</v>
      </c>
      <c r="Q204" s="186">
        <v>1524.7993999999999</v>
      </c>
      <c r="R204" s="183">
        <v>0.33</v>
      </c>
      <c r="S204" s="185">
        <v>-153.6</v>
      </c>
      <c r="T204" s="185">
        <v>349.58380199999999</v>
      </c>
      <c r="U204" s="185">
        <v>151.97994</v>
      </c>
      <c r="V204" s="187">
        <v>363.23380199999997</v>
      </c>
      <c r="X204" s="185">
        <v>1940</v>
      </c>
      <c r="Y204" s="185">
        <v>1266.2356580000001</v>
      </c>
      <c r="Z204" s="183">
        <v>0.65269879278350518</v>
      </c>
      <c r="AA204" s="185">
        <v>172.20060000000001</v>
      </c>
      <c r="AB204" s="185">
        <v>349.58380199999999</v>
      </c>
      <c r="AC204" s="185">
        <v>151.97994</v>
      </c>
      <c r="AD204" s="185">
        <v>1940</v>
      </c>
      <c r="AE204" s="186">
        <v>11.400000000000091</v>
      </c>
      <c r="AF204" s="183">
        <v>0.22800000000000181</v>
      </c>
      <c r="AG204" s="186">
        <v>22.799999999999955</v>
      </c>
      <c r="AH204" s="183">
        <v>0.22799999999999954</v>
      </c>
    </row>
    <row r="205" spans="3:34" x14ac:dyDescent="0.25">
      <c r="C205" s="181">
        <v>1950</v>
      </c>
      <c r="D205" s="183">
        <v>0</v>
      </c>
      <c r="E205" s="185">
        <v>195</v>
      </c>
      <c r="F205" s="181">
        <v>195</v>
      </c>
      <c r="G205" s="185">
        <v>1755</v>
      </c>
      <c r="H205" s="185">
        <v>85.818599999999989</v>
      </c>
      <c r="I205" s="185">
        <v>71.37</v>
      </c>
      <c r="J205" s="185">
        <v>15.011999999999999</v>
      </c>
      <c r="K205" s="181">
        <v>48</v>
      </c>
      <c r="P205" s="186">
        <v>220.20060000000001</v>
      </c>
      <c r="Q205" s="186">
        <v>1534.7993999999999</v>
      </c>
      <c r="R205" s="183">
        <v>0.33</v>
      </c>
      <c r="S205" s="185">
        <v>-153.6</v>
      </c>
      <c r="T205" s="185">
        <v>352.88380199999995</v>
      </c>
      <c r="U205" s="185">
        <v>152.97994</v>
      </c>
      <c r="V205" s="187">
        <v>366.53380199999992</v>
      </c>
      <c r="X205" s="185">
        <v>1950</v>
      </c>
      <c r="Y205" s="185">
        <v>1271.9356580000001</v>
      </c>
      <c r="Z205" s="183">
        <v>0.65227469641025648</v>
      </c>
      <c r="AA205" s="185">
        <v>172.20060000000001</v>
      </c>
      <c r="AB205" s="185">
        <v>352.88380199999995</v>
      </c>
      <c r="AC205" s="185">
        <v>152.97994</v>
      </c>
      <c r="AD205" s="185">
        <v>1950</v>
      </c>
      <c r="AE205" s="186">
        <v>11.400000000000091</v>
      </c>
      <c r="AF205" s="183">
        <v>0.22800000000000181</v>
      </c>
      <c r="AG205" s="186">
        <v>22.800000000000182</v>
      </c>
      <c r="AH205" s="183">
        <v>0.22800000000000181</v>
      </c>
    </row>
    <row r="206" spans="3:34" x14ac:dyDescent="0.25">
      <c r="C206" s="181">
        <v>1960</v>
      </c>
      <c r="D206" s="183">
        <v>0</v>
      </c>
      <c r="E206" s="185">
        <v>195</v>
      </c>
      <c r="F206" s="181">
        <v>195</v>
      </c>
      <c r="G206" s="185">
        <v>1765</v>
      </c>
      <c r="H206" s="185">
        <v>85.818599999999989</v>
      </c>
      <c r="I206" s="185">
        <v>71.37</v>
      </c>
      <c r="J206" s="185">
        <v>15.011999999999999</v>
      </c>
      <c r="K206" s="181">
        <v>48</v>
      </c>
      <c r="P206" s="186">
        <v>220.20060000000001</v>
      </c>
      <c r="Q206" s="186">
        <v>1544.7993999999999</v>
      </c>
      <c r="R206" s="183">
        <v>0.33</v>
      </c>
      <c r="S206" s="185">
        <v>-153.6</v>
      </c>
      <c r="T206" s="185">
        <v>356.18380200000001</v>
      </c>
      <c r="U206" s="185">
        <v>153.97994</v>
      </c>
      <c r="V206" s="187">
        <v>369.83380199999999</v>
      </c>
      <c r="X206" s="185">
        <v>1960</v>
      </c>
      <c r="Y206" s="185">
        <v>1277.6356579999999</v>
      </c>
      <c r="Z206" s="183">
        <v>0.65185492755102037</v>
      </c>
      <c r="AA206" s="185">
        <v>172.20060000000001</v>
      </c>
      <c r="AB206" s="185">
        <v>356.18380200000001</v>
      </c>
      <c r="AC206" s="185">
        <v>153.97994</v>
      </c>
      <c r="AD206" s="185">
        <v>1960</v>
      </c>
      <c r="AE206" s="186">
        <v>11.399999999999864</v>
      </c>
      <c r="AF206" s="183">
        <v>0.22799999999999726</v>
      </c>
      <c r="AG206" s="186">
        <v>22.799999999999955</v>
      </c>
      <c r="AH206" s="183">
        <v>0.22799999999999954</v>
      </c>
    </row>
    <row r="207" spans="3:34" x14ac:dyDescent="0.25">
      <c r="C207" s="181">
        <v>1970</v>
      </c>
      <c r="D207" s="183">
        <v>0</v>
      </c>
      <c r="E207" s="185">
        <v>195</v>
      </c>
      <c r="F207" s="181">
        <v>195</v>
      </c>
      <c r="G207" s="185">
        <v>1775</v>
      </c>
      <c r="H207" s="185">
        <v>85.818599999999989</v>
      </c>
      <c r="I207" s="185">
        <v>71.37</v>
      </c>
      <c r="J207" s="185">
        <v>15.011999999999999</v>
      </c>
      <c r="K207" s="181">
        <v>48</v>
      </c>
      <c r="P207" s="186">
        <v>220.20060000000001</v>
      </c>
      <c r="Q207" s="186">
        <v>1554.7993999999999</v>
      </c>
      <c r="R207" s="183">
        <v>0.33</v>
      </c>
      <c r="S207" s="185">
        <v>-153.6</v>
      </c>
      <c r="T207" s="185">
        <v>359.48380199999997</v>
      </c>
      <c r="U207" s="185">
        <v>154.97994</v>
      </c>
      <c r="V207" s="187">
        <v>373.13380199999995</v>
      </c>
      <c r="X207" s="185">
        <v>1970</v>
      </c>
      <c r="Y207" s="185">
        <v>1283.335658</v>
      </c>
      <c r="Z207" s="183">
        <v>0.65143942030456847</v>
      </c>
      <c r="AA207" s="185">
        <v>172.20060000000001</v>
      </c>
      <c r="AB207" s="185">
        <v>359.48380199999997</v>
      </c>
      <c r="AC207" s="185">
        <v>154.97994</v>
      </c>
      <c r="AD207" s="185">
        <v>1970</v>
      </c>
      <c r="AE207" s="186">
        <v>11.399999999999864</v>
      </c>
      <c r="AF207" s="183">
        <v>0.22799999999999726</v>
      </c>
      <c r="AG207" s="186">
        <v>22.799999999999955</v>
      </c>
      <c r="AH207" s="183">
        <v>0.22799999999999954</v>
      </c>
    </row>
    <row r="208" spans="3:34" x14ac:dyDescent="0.25">
      <c r="C208" s="181">
        <v>1980</v>
      </c>
      <c r="D208" s="183">
        <v>0</v>
      </c>
      <c r="E208" s="185">
        <v>195</v>
      </c>
      <c r="F208" s="181">
        <v>195</v>
      </c>
      <c r="G208" s="185">
        <v>1785</v>
      </c>
      <c r="H208" s="185">
        <v>85.818599999999989</v>
      </c>
      <c r="I208" s="185">
        <v>71.37</v>
      </c>
      <c r="J208" s="185">
        <v>15.011999999999999</v>
      </c>
      <c r="K208" s="181">
        <v>48</v>
      </c>
      <c r="P208" s="186">
        <v>220.20060000000001</v>
      </c>
      <c r="Q208" s="186">
        <v>1564.7993999999999</v>
      </c>
      <c r="R208" s="183">
        <v>0.33</v>
      </c>
      <c r="S208" s="185">
        <v>-153.6</v>
      </c>
      <c r="T208" s="185">
        <v>362.78380199999992</v>
      </c>
      <c r="U208" s="185">
        <v>155.97994</v>
      </c>
      <c r="V208" s="187">
        <v>376.4338019999999</v>
      </c>
      <c r="X208" s="185">
        <v>1980</v>
      </c>
      <c r="Y208" s="185">
        <v>1289.035658</v>
      </c>
      <c r="Z208" s="183">
        <v>0.65102811010101014</v>
      </c>
      <c r="AA208" s="185">
        <v>172.20060000000001</v>
      </c>
      <c r="AB208" s="185">
        <v>362.78380199999992</v>
      </c>
      <c r="AC208" s="185">
        <v>155.97994</v>
      </c>
      <c r="AD208" s="185">
        <v>1980</v>
      </c>
      <c r="AE208" s="186">
        <v>11.400000000000091</v>
      </c>
      <c r="AF208" s="183">
        <v>0.22800000000000181</v>
      </c>
      <c r="AG208" s="186">
        <v>22.799999999999955</v>
      </c>
      <c r="AH208" s="183">
        <v>0.22799999999999954</v>
      </c>
    </row>
    <row r="209" spans="3:34" x14ac:dyDescent="0.25">
      <c r="C209" s="181">
        <v>1990</v>
      </c>
      <c r="D209" s="183">
        <v>0</v>
      </c>
      <c r="E209" s="185">
        <v>195</v>
      </c>
      <c r="F209" s="181">
        <v>195</v>
      </c>
      <c r="G209" s="185">
        <v>1795</v>
      </c>
      <c r="H209" s="185">
        <v>85.818599999999989</v>
      </c>
      <c r="I209" s="185">
        <v>71.37</v>
      </c>
      <c r="J209" s="185">
        <v>15.011999999999999</v>
      </c>
      <c r="K209" s="181">
        <v>48</v>
      </c>
      <c r="P209" s="186">
        <v>220.20060000000001</v>
      </c>
      <c r="Q209" s="186">
        <v>1574.7993999999999</v>
      </c>
      <c r="R209" s="183">
        <v>0.33</v>
      </c>
      <c r="S209" s="185">
        <v>-153.6</v>
      </c>
      <c r="T209" s="185">
        <v>366.08380199999999</v>
      </c>
      <c r="U209" s="185">
        <v>156.97994</v>
      </c>
      <c r="V209" s="187">
        <v>379.73380199999997</v>
      </c>
      <c r="X209" s="185">
        <v>1990</v>
      </c>
      <c r="Y209" s="185">
        <v>1294.7356580000001</v>
      </c>
      <c r="Z209" s="183">
        <v>0.65062093366834173</v>
      </c>
      <c r="AA209" s="185">
        <v>172.20060000000001</v>
      </c>
      <c r="AB209" s="185">
        <v>366.08380199999999</v>
      </c>
      <c r="AC209" s="185">
        <v>156.97994</v>
      </c>
      <c r="AD209" s="185">
        <v>1990</v>
      </c>
      <c r="AE209" s="186">
        <v>11.400000000000091</v>
      </c>
      <c r="AF209" s="183">
        <v>0.22800000000000181</v>
      </c>
      <c r="AG209" s="186">
        <v>22.799999999999955</v>
      </c>
      <c r="AH209" s="183">
        <v>0.22799999999999954</v>
      </c>
    </row>
    <row r="210" spans="3:34" x14ac:dyDescent="0.25">
      <c r="C210" s="181">
        <v>2000</v>
      </c>
      <c r="D210" s="183">
        <v>0</v>
      </c>
      <c r="E210" s="185">
        <v>195</v>
      </c>
      <c r="F210" s="181">
        <v>195</v>
      </c>
      <c r="G210" s="185">
        <v>1805</v>
      </c>
      <c r="H210" s="185">
        <v>85.818599999999989</v>
      </c>
      <c r="I210" s="185">
        <v>71.37</v>
      </c>
      <c r="J210" s="185">
        <v>15.011999999999999</v>
      </c>
      <c r="K210" s="181">
        <v>48</v>
      </c>
      <c r="P210" s="186">
        <v>220.20060000000001</v>
      </c>
      <c r="Q210" s="186">
        <v>1584.7993999999999</v>
      </c>
      <c r="R210" s="183">
        <v>0.33</v>
      </c>
      <c r="S210" s="185">
        <v>-153.6</v>
      </c>
      <c r="T210" s="185">
        <v>369.38380199999995</v>
      </c>
      <c r="U210" s="185">
        <v>157.97994</v>
      </c>
      <c r="V210" s="187">
        <v>383.03380199999992</v>
      </c>
      <c r="X210" s="185">
        <v>2000</v>
      </c>
      <c r="Y210" s="185">
        <v>1300.4356580000001</v>
      </c>
      <c r="Z210" s="183">
        <v>0.65021782900000002</v>
      </c>
      <c r="AA210" s="185">
        <v>172.20060000000001</v>
      </c>
      <c r="AB210" s="185">
        <v>369.38380199999995</v>
      </c>
      <c r="AC210" s="185">
        <v>157.97994</v>
      </c>
      <c r="AD210" s="185">
        <v>2000</v>
      </c>
      <c r="AE210" s="186">
        <v>11.400000000000091</v>
      </c>
      <c r="AF210" s="183">
        <v>0.22800000000000181</v>
      </c>
      <c r="AG210" s="186">
        <v>22.800000000000182</v>
      </c>
      <c r="AH210" s="183">
        <v>0.22800000000000181</v>
      </c>
    </row>
    <row r="211" spans="3:34" x14ac:dyDescent="0.25">
      <c r="C211" s="181">
        <v>2010</v>
      </c>
      <c r="D211" s="183">
        <v>0</v>
      </c>
      <c r="E211" s="185">
        <v>195</v>
      </c>
      <c r="F211" s="181">
        <v>195</v>
      </c>
      <c r="G211" s="185">
        <v>1815</v>
      </c>
      <c r="H211" s="185">
        <v>85.818599999999989</v>
      </c>
      <c r="I211" s="185">
        <v>71.37</v>
      </c>
      <c r="J211" s="185">
        <v>15.011999999999999</v>
      </c>
      <c r="K211" s="181">
        <v>48</v>
      </c>
      <c r="P211" s="186">
        <v>220.20060000000001</v>
      </c>
      <c r="Q211" s="186">
        <v>1594.7993999999999</v>
      </c>
      <c r="R211" s="183">
        <v>0.33</v>
      </c>
      <c r="S211" s="185">
        <v>-153.6</v>
      </c>
      <c r="T211" s="185">
        <v>372.68380200000001</v>
      </c>
      <c r="U211" s="185">
        <v>158.97994</v>
      </c>
      <c r="V211" s="187">
        <v>386.33380199999999</v>
      </c>
      <c r="X211" s="185">
        <v>2010</v>
      </c>
      <c r="Y211" s="185">
        <v>1306.1356579999999</v>
      </c>
      <c r="Z211" s="183">
        <v>0.64981873532338308</v>
      </c>
      <c r="AA211" s="185">
        <v>172.20060000000001</v>
      </c>
      <c r="AB211" s="185">
        <v>372.68380200000001</v>
      </c>
      <c r="AC211" s="185">
        <v>158.97994</v>
      </c>
      <c r="AD211" s="185">
        <v>2010</v>
      </c>
      <c r="AE211" s="186">
        <v>11.399999999999864</v>
      </c>
      <c r="AF211" s="183">
        <v>0.22799999999999726</v>
      </c>
      <c r="AG211" s="186">
        <v>22.799999999999955</v>
      </c>
      <c r="AH211" s="183">
        <v>0.22799999999999954</v>
      </c>
    </row>
    <row r="212" spans="3:34" x14ac:dyDescent="0.25">
      <c r="C212" s="181">
        <v>2020</v>
      </c>
      <c r="D212" s="183">
        <v>0</v>
      </c>
      <c r="E212" s="185">
        <v>195</v>
      </c>
      <c r="F212" s="181">
        <v>195</v>
      </c>
      <c r="G212" s="185">
        <v>1825</v>
      </c>
      <c r="H212" s="185">
        <v>85.818599999999989</v>
      </c>
      <c r="I212" s="185">
        <v>71.37</v>
      </c>
      <c r="J212" s="185">
        <v>15.011999999999999</v>
      </c>
      <c r="K212" s="181">
        <v>48</v>
      </c>
      <c r="P212" s="186">
        <v>220.20060000000001</v>
      </c>
      <c r="Q212" s="186">
        <v>1604.7993999999999</v>
      </c>
      <c r="R212" s="183">
        <v>0.33</v>
      </c>
      <c r="S212" s="185">
        <v>-153.6</v>
      </c>
      <c r="T212" s="185">
        <v>375.98380199999997</v>
      </c>
      <c r="U212" s="185">
        <v>159.97994</v>
      </c>
      <c r="V212" s="187">
        <v>389.63380199999995</v>
      </c>
      <c r="X212" s="185">
        <v>2020</v>
      </c>
      <c r="Y212" s="185">
        <v>1311.835658</v>
      </c>
      <c r="Z212" s="183">
        <v>0.64942359306930686</v>
      </c>
      <c r="AA212" s="185">
        <v>172.20060000000001</v>
      </c>
      <c r="AB212" s="185">
        <v>375.98380199999997</v>
      </c>
      <c r="AC212" s="185">
        <v>159.97994</v>
      </c>
      <c r="AD212" s="185">
        <v>2020</v>
      </c>
      <c r="AE212" s="186">
        <v>11.399999999999864</v>
      </c>
      <c r="AF212" s="183">
        <v>0.22799999999999726</v>
      </c>
      <c r="AG212" s="186">
        <v>22.799999999999955</v>
      </c>
      <c r="AH212" s="183">
        <v>0.22799999999999954</v>
      </c>
    </row>
    <row r="213" spans="3:34" x14ac:dyDescent="0.25">
      <c r="C213" s="181">
        <v>2030</v>
      </c>
      <c r="D213" s="183">
        <v>0</v>
      </c>
      <c r="E213" s="185">
        <v>195</v>
      </c>
      <c r="F213" s="181">
        <v>195</v>
      </c>
      <c r="G213" s="185">
        <v>1835</v>
      </c>
      <c r="H213" s="185">
        <v>85.818599999999989</v>
      </c>
      <c r="I213" s="185">
        <v>71.37</v>
      </c>
      <c r="J213" s="185">
        <v>15.011999999999999</v>
      </c>
      <c r="K213" s="181">
        <v>48</v>
      </c>
      <c r="P213" s="186">
        <v>220.20060000000001</v>
      </c>
      <c r="Q213" s="186">
        <v>1614.7993999999999</v>
      </c>
      <c r="R213" s="183">
        <v>0.33</v>
      </c>
      <c r="S213" s="185">
        <v>-153.6</v>
      </c>
      <c r="T213" s="185">
        <v>379.28380199999992</v>
      </c>
      <c r="U213" s="185">
        <v>160.97994</v>
      </c>
      <c r="V213" s="187">
        <v>392.9338019999999</v>
      </c>
      <c r="X213" s="185">
        <v>2030</v>
      </c>
      <c r="Y213" s="185">
        <v>1317.535658</v>
      </c>
      <c r="Z213" s="183">
        <v>0.64903234384236452</v>
      </c>
      <c r="AA213" s="185">
        <v>172.20060000000001</v>
      </c>
      <c r="AB213" s="185">
        <v>379.28380199999992</v>
      </c>
      <c r="AC213" s="185">
        <v>160.97994</v>
      </c>
      <c r="AD213" s="185">
        <v>2030</v>
      </c>
      <c r="AE213" s="186">
        <v>11.400000000000091</v>
      </c>
      <c r="AF213" s="183">
        <v>0.22800000000000181</v>
      </c>
      <c r="AG213" s="186">
        <v>22.799999999999955</v>
      </c>
      <c r="AH213" s="183">
        <v>0.22799999999999954</v>
      </c>
    </row>
    <row r="214" spans="3:34" x14ac:dyDescent="0.25">
      <c r="C214" s="181">
        <v>2040</v>
      </c>
      <c r="D214" s="183">
        <v>0</v>
      </c>
      <c r="E214" s="185">
        <v>195</v>
      </c>
      <c r="F214" s="181">
        <v>195</v>
      </c>
      <c r="G214" s="185">
        <v>1845</v>
      </c>
      <c r="H214" s="185">
        <v>85.818599999999989</v>
      </c>
      <c r="I214" s="185">
        <v>71.37</v>
      </c>
      <c r="J214" s="185">
        <v>15.011999999999999</v>
      </c>
      <c r="K214" s="181">
        <v>48</v>
      </c>
      <c r="P214" s="186">
        <v>220.20060000000001</v>
      </c>
      <c r="Q214" s="186">
        <v>1624.7993999999999</v>
      </c>
      <c r="R214" s="183">
        <v>0.33</v>
      </c>
      <c r="S214" s="185">
        <v>-153.6</v>
      </c>
      <c r="T214" s="185">
        <v>382.58380199999999</v>
      </c>
      <c r="U214" s="185">
        <v>161.97994</v>
      </c>
      <c r="V214" s="187">
        <v>396.23380199999997</v>
      </c>
      <c r="X214" s="185">
        <v>2040</v>
      </c>
      <c r="Y214" s="185">
        <v>1323.2356580000001</v>
      </c>
      <c r="Z214" s="183">
        <v>0.64864493039215687</v>
      </c>
      <c r="AA214" s="185">
        <v>172.20060000000001</v>
      </c>
      <c r="AB214" s="185">
        <v>382.58380199999999</v>
      </c>
      <c r="AC214" s="185">
        <v>161.97994</v>
      </c>
      <c r="AD214" s="185">
        <v>2040</v>
      </c>
      <c r="AE214" s="186">
        <v>11.400000000000091</v>
      </c>
      <c r="AF214" s="183">
        <v>0.22800000000000181</v>
      </c>
      <c r="AG214" s="186">
        <v>22.799999999999955</v>
      </c>
      <c r="AH214" s="183">
        <v>0.22799999999999954</v>
      </c>
    </row>
    <row r="215" spans="3:34" x14ac:dyDescent="0.25">
      <c r="C215" s="181">
        <v>2050</v>
      </c>
      <c r="D215" s="183">
        <v>0</v>
      </c>
      <c r="E215" s="185">
        <v>195</v>
      </c>
      <c r="F215" s="181">
        <v>195</v>
      </c>
      <c r="G215" s="185">
        <v>1855</v>
      </c>
      <c r="H215" s="185">
        <v>85.818599999999989</v>
      </c>
      <c r="I215" s="185">
        <v>71.37</v>
      </c>
      <c r="J215" s="185">
        <v>15.011999999999999</v>
      </c>
      <c r="K215" s="181">
        <v>48</v>
      </c>
      <c r="P215" s="186">
        <v>220.20060000000001</v>
      </c>
      <c r="Q215" s="186">
        <v>1634.7993999999999</v>
      </c>
      <c r="R215" s="183">
        <v>0.33</v>
      </c>
      <c r="S215" s="185">
        <v>-153.6</v>
      </c>
      <c r="T215" s="185">
        <v>385.88380199999995</v>
      </c>
      <c r="U215" s="185">
        <v>162.97994</v>
      </c>
      <c r="V215" s="187">
        <v>399.53380199999992</v>
      </c>
      <c r="X215" s="185">
        <v>2050</v>
      </c>
      <c r="Y215" s="185">
        <v>1328.9356580000001</v>
      </c>
      <c r="Z215" s="183">
        <v>0.64826129658536591</v>
      </c>
      <c r="AA215" s="185">
        <v>172.20060000000001</v>
      </c>
      <c r="AB215" s="185">
        <v>385.88380199999995</v>
      </c>
      <c r="AC215" s="185">
        <v>162.97994</v>
      </c>
      <c r="AD215" s="185">
        <v>2050</v>
      </c>
      <c r="AE215" s="186">
        <v>11.400000000000091</v>
      </c>
      <c r="AF215" s="183">
        <v>0.22800000000000181</v>
      </c>
      <c r="AG215" s="186">
        <v>22.800000000000182</v>
      </c>
      <c r="AH215" s="183">
        <v>0.22800000000000181</v>
      </c>
    </row>
    <row r="216" spans="3:34" x14ac:dyDescent="0.25">
      <c r="C216" s="181">
        <v>2060</v>
      </c>
      <c r="D216" s="183">
        <v>0</v>
      </c>
      <c r="E216" s="185">
        <v>195</v>
      </c>
      <c r="F216" s="181">
        <v>195</v>
      </c>
      <c r="G216" s="185">
        <v>1865</v>
      </c>
      <c r="H216" s="185">
        <v>85.818599999999989</v>
      </c>
      <c r="I216" s="185">
        <v>71.37</v>
      </c>
      <c r="J216" s="185">
        <v>15.011999999999999</v>
      </c>
      <c r="K216" s="181">
        <v>48</v>
      </c>
      <c r="P216" s="186">
        <v>220.20060000000001</v>
      </c>
      <c r="Q216" s="186">
        <v>1644.7993999999999</v>
      </c>
      <c r="R216" s="183">
        <v>0.33</v>
      </c>
      <c r="S216" s="185">
        <v>-153.6</v>
      </c>
      <c r="T216" s="185">
        <v>389.18380200000001</v>
      </c>
      <c r="U216" s="185">
        <v>163.97994</v>
      </c>
      <c r="V216" s="187">
        <v>402.83380199999999</v>
      </c>
      <c r="X216" s="185">
        <v>2060</v>
      </c>
      <c r="Y216" s="185">
        <v>1334.6356579999999</v>
      </c>
      <c r="Z216" s="183">
        <v>0.64788138737864076</v>
      </c>
      <c r="AA216" s="185">
        <v>172.20060000000001</v>
      </c>
      <c r="AB216" s="185">
        <v>389.18380200000001</v>
      </c>
      <c r="AC216" s="185">
        <v>163.97994</v>
      </c>
      <c r="AD216" s="185">
        <v>2060</v>
      </c>
      <c r="AE216" s="186">
        <v>11.399999999999864</v>
      </c>
      <c r="AF216" s="183">
        <v>0.22799999999999726</v>
      </c>
      <c r="AG216" s="186">
        <v>22.799999999999955</v>
      </c>
      <c r="AH216" s="183">
        <v>0.22799999999999954</v>
      </c>
    </row>
    <row r="217" spans="3:34" x14ac:dyDescent="0.25">
      <c r="C217" s="181">
        <v>2070</v>
      </c>
      <c r="D217" s="183">
        <v>0</v>
      </c>
      <c r="E217" s="185">
        <v>195</v>
      </c>
      <c r="F217" s="181">
        <v>195</v>
      </c>
      <c r="G217" s="185">
        <v>1875</v>
      </c>
      <c r="H217" s="185">
        <v>85.818599999999989</v>
      </c>
      <c r="I217" s="185">
        <v>71.37</v>
      </c>
      <c r="J217" s="185">
        <v>15.011999999999999</v>
      </c>
      <c r="K217" s="181">
        <v>48</v>
      </c>
      <c r="P217" s="186">
        <v>220.20060000000001</v>
      </c>
      <c r="Q217" s="186">
        <v>1654.7993999999999</v>
      </c>
      <c r="R217" s="183">
        <v>0.33</v>
      </c>
      <c r="S217" s="185">
        <v>-153.6</v>
      </c>
      <c r="T217" s="185">
        <v>392.48380199999997</v>
      </c>
      <c r="U217" s="185">
        <v>164.97994</v>
      </c>
      <c r="V217" s="187">
        <v>406.13380199999995</v>
      </c>
      <c r="X217" s="185">
        <v>2070</v>
      </c>
      <c r="Y217" s="185">
        <v>1340.335658</v>
      </c>
      <c r="Z217" s="183">
        <v>0.6475051487922705</v>
      </c>
      <c r="AA217" s="185">
        <v>172.20060000000001</v>
      </c>
      <c r="AB217" s="185">
        <v>392.48380199999997</v>
      </c>
      <c r="AC217" s="185">
        <v>164.97994</v>
      </c>
      <c r="AD217" s="185">
        <v>2070</v>
      </c>
      <c r="AE217" s="186">
        <v>11.399999999999864</v>
      </c>
      <c r="AF217" s="183">
        <v>0.22799999999999726</v>
      </c>
      <c r="AG217" s="186">
        <v>22.799999999999955</v>
      </c>
      <c r="AH217" s="183">
        <v>0.22799999999999954</v>
      </c>
    </row>
    <row r="218" spans="3:34" x14ac:dyDescent="0.25">
      <c r="C218" s="181">
        <v>2080</v>
      </c>
      <c r="D218" s="183">
        <v>0</v>
      </c>
      <c r="E218" s="185">
        <v>195</v>
      </c>
      <c r="F218" s="181">
        <v>195</v>
      </c>
      <c r="G218" s="185">
        <v>1885</v>
      </c>
      <c r="H218" s="185">
        <v>85.818599999999989</v>
      </c>
      <c r="I218" s="185">
        <v>71.37</v>
      </c>
      <c r="J218" s="185">
        <v>15.011999999999999</v>
      </c>
      <c r="K218" s="181">
        <v>48</v>
      </c>
      <c r="P218" s="186">
        <v>220.20060000000001</v>
      </c>
      <c r="Q218" s="186">
        <v>1664.7993999999999</v>
      </c>
      <c r="R218" s="183">
        <v>0.33</v>
      </c>
      <c r="S218" s="185">
        <v>-153.6</v>
      </c>
      <c r="T218" s="185">
        <v>395.78380199999992</v>
      </c>
      <c r="U218" s="185">
        <v>165.97994</v>
      </c>
      <c r="V218" s="187">
        <v>409.4338019999999</v>
      </c>
      <c r="X218" s="185">
        <v>2080</v>
      </c>
      <c r="Y218" s="185">
        <v>1346.035658</v>
      </c>
      <c r="Z218" s="183">
        <v>0.64713252788461539</v>
      </c>
      <c r="AA218" s="185">
        <v>172.20060000000001</v>
      </c>
      <c r="AB218" s="185">
        <v>395.78380199999992</v>
      </c>
      <c r="AC218" s="185">
        <v>165.97994</v>
      </c>
      <c r="AD218" s="185">
        <v>2080</v>
      </c>
      <c r="AE218" s="186">
        <v>11.400000000000091</v>
      </c>
      <c r="AF218" s="183">
        <v>0.22800000000000181</v>
      </c>
      <c r="AG218" s="186">
        <v>22.799999999999955</v>
      </c>
      <c r="AH218" s="183">
        <v>0.22799999999999954</v>
      </c>
    </row>
    <row r="219" spans="3:34" x14ac:dyDescent="0.25">
      <c r="C219" s="181">
        <v>2090</v>
      </c>
      <c r="D219" s="183">
        <v>0</v>
      </c>
      <c r="E219" s="185">
        <v>195</v>
      </c>
      <c r="F219" s="181">
        <v>195</v>
      </c>
      <c r="G219" s="185">
        <v>1895</v>
      </c>
      <c r="H219" s="185">
        <v>85.818599999999989</v>
      </c>
      <c r="I219" s="185">
        <v>71.37</v>
      </c>
      <c r="J219" s="185">
        <v>15.011999999999999</v>
      </c>
      <c r="K219" s="181">
        <v>48</v>
      </c>
      <c r="P219" s="186">
        <v>220.20060000000001</v>
      </c>
      <c r="Q219" s="186">
        <v>1674.7993999999999</v>
      </c>
      <c r="R219" s="183">
        <v>0.33</v>
      </c>
      <c r="S219" s="185">
        <v>-153.6</v>
      </c>
      <c r="T219" s="185">
        <v>399.08380199999999</v>
      </c>
      <c r="U219" s="185">
        <v>166.97994</v>
      </c>
      <c r="V219" s="187">
        <v>412.73380199999997</v>
      </c>
      <c r="X219" s="185">
        <v>2090</v>
      </c>
      <c r="Y219" s="185">
        <v>1351.7356580000001</v>
      </c>
      <c r="Z219" s="183">
        <v>0.64676347272727275</v>
      </c>
      <c r="AA219" s="185">
        <v>172.20060000000001</v>
      </c>
      <c r="AB219" s="185">
        <v>399.08380199999999</v>
      </c>
      <c r="AC219" s="185">
        <v>166.97994</v>
      </c>
      <c r="AD219" s="185">
        <v>2090</v>
      </c>
      <c r="AE219" s="186">
        <v>11.400000000000091</v>
      </c>
      <c r="AF219" s="183">
        <v>0.22800000000000181</v>
      </c>
      <c r="AG219" s="186">
        <v>22.799999999999955</v>
      </c>
      <c r="AH219" s="183">
        <v>0.22799999999999954</v>
      </c>
    </row>
    <row r="220" spans="3:34" x14ac:dyDescent="0.25">
      <c r="C220" s="181">
        <v>2100</v>
      </c>
      <c r="D220" s="183">
        <v>0</v>
      </c>
      <c r="E220" s="185">
        <v>195</v>
      </c>
      <c r="F220" s="181">
        <v>195</v>
      </c>
      <c r="G220" s="185">
        <v>1905</v>
      </c>
      <c r="H220" s="185">
        <v>85.818599999999989</v>
      </c>
      <c r="I220" s="185">
        <v>71.37</v>
      </c>
      <c r="J220" s="185">
        <v>15.011999999999999</v>
      </c>
      <c r="K220" s="181">
        <v>48</v>
      </c>
      <c r="P220" s="186">
        <v>220.20060000000001</v>
      </c>
      <c r="Q220" s="186">
        <v>1684.7993999999999</v>
      </c>
      <c r="R220" s="183">
        <v>0.33</v>
      </c>
      <c r="S220" s="185">
        <v>-153.6</v>
      </c>
      <c r="T220" s="185">
        <v>402.38380199999995</v>
      </c>
      <c r="U220" s="185">
        <v>167.97994</v>
      </c>
      <c r="V220" s="187">
        <v>416.03380199999992</v>
      </c>
      <c r="X220" s="185">
        <v>2100</v>
      </c>
      <c r="Y220" s="185">
        <v>1357.4356580000001</v>
      </c>
      <c r="Z220" s="183">
        <v>0.64639793238095244</v>
      </c>
      <c r="AA220" s="185">
        <v>172.20060000000001</v>
      </c>
      <c r="AB220" s="185">
        <v>402.38380199999995</v>
      </c>
      <c r="AC220" s="185">
        <v>167.97994</v>
      </c>
      <c r="AD220" s="185">
        <v>2100</v>
      </c>
      <c r="AE220" s="186">
        <v>11.400000000000091</v>
      </c>
      <c r="AF220" s="183">
        <v>0.22800000000000181</v>
      </c>
      <c r="AG220" s="186">
        <v>22.800000000000182</v>
      </c>
      <c r="AH220" s="183">
        <v>0.22800000000000181</v>
      </c>
    </row>
    <row r="221" spans="3:34" x14ac:dyDescent="0.25">
      <c r="C221" s="181">
        <v>2110</v>
      </c>
      <c r="D221" s="183">
        <v>0</v>
      </c>
      <c r="E221" s="185">
        <v>195</v>
      </c>
      <c r="F221" s="181">
        <v>195</v>
      </c>
      <c r="G221" s="185">
        <v>1915</v>
      </c>
      <c r="H221" s="185">
        <v>85.818599999999989</v>
      </c>
      <c r="I221" s="185">
        <v>71.37</v>
      </c>
      <c r="J221" s="185">
        <v>15.011999999999999</v>
      </c>
      <c r="K221" s="181">
        <v>48</v>
      </c>
      <c r="P221" s="186">
        <v>220.20060000000001</v>
      </c>
      <c r="Q221" s="186">
        <v>1694.7993999999999</v>
      </c>
      <c r="R221" s="183">
        <v>0.33</v>
      </c>
      <c r="S221" s="185">
        <v>-153.6</v>
      </c>
      <c r="T221" s="185">
        <v>405.68380200000001</v>
      </c>
      <c r="U221" s="185">
        <v>168.97994</v>
      </c>
      <c r="V221" s="187">
        <v>419.33380199999999</v>
      </c>
      <c r="X221" s="185">
        <v>2110</v>
      </c>
      <c r="Y221" s="185">
        <v>1363.1356579999999</v>
      </c>
      <c r="Z221" s="183">
        <v>0.64603585687203791</v>
      </c>
      <c r="AA221" s="185">
        <v>172.20060000000001</v>
      </c>
      <c r="AB221" s="185">
        <v>405.68380200000001</v>
      </c>
      <c r="AC221" s="185">
        <v>168.97994</v>
      </c>
      <c r="AD221" s="185">
        <v>2110</v>
      </c>
      <c r="AE221" s="186">
        <v>11.399999999999864</v>
      </c>
      <c r="AF221" s="183">
        <v>0.22799999999999726</v>
      </c>
      <c r="AG221" s="186">
        <v>22.799999999999955</v>
      </c>
      <c r="AH221" s="183">
        <v>0.22799999999999954</v>
      </c>
    </row>
    <row r="222" spans="3:34" x14ac:dyDescent="0.25">
      <c r="C222" s="181">
        <v>2120</v>
      </c>
      <c r="D222" s="183">
        <v>0</v>
      </c>
      <c r="E222" s="185">
        <v>195</v>
      </c>
      <c r="F222" s="181">
        <v>195</v>
      </c>
      <c r="G222" s="185">
        <v>1925</v>
      </c>
      <c r="H222" s="185">
        <v>85.818599999999989</v>
      </c>
      <c r="I222" s="185">
        <v>71.37</v>
      </c>
      <c r="J222" s="185">
        <v>15.011999999999999</v>
      </c>
      <c r="K222" s="181">
        <v>48</v>
      </c>
      <c r="P222" s="186">
        <v>220.20060000000001</v>
      </c>
      <c r="Q222" s="186">
        <v>1704.7993999999999</v>
      </c>
      <c r="R222" s="183">
        <v>0.33</v>
      </c>
      <c r="S222" s="185">
        <v>-153.6</v>
      </c>
      <c r="T222" s="185">
        <v>408.98380199999997</v>
      </c>
      <c r="U222" s="185">
        <v>169.97994</v>
      </c>
      <c r="V222" s="187">
        <v>422.63380199999995</v>
      </c>
      <c r="X222" s="185">
        <v>2120</v>
      </c>
      <c r="Y222" s="185">
        <v>1368.835658</v>
      </c>
      <c r="Z222" s="183">
        <v>0.64567719716981131</v>
      </c>
      <c r="AA222" s="185">
        <v>172.20060000000001</v>
      </c>
      <c r="AB222" s="185">
        <v>408.98380199999997</v>
      </c>
      <c r="AC222" s="185">
        <v>169.97994</v>
      </c>
      <c r="AD222" s="185">
        <v>2120</v>
      </c>
      <c r="AE222" s="186">
        <v>11.399999999999864</v>
      </c>
      <c r="AF222" s="183">
        <v>0.22799999999999726</v>
      </c>
      <c r="AG222" s="186">
        <v>22.799999999999955</v>
      </c>
      <c r="AH222" s="183">
        <v>0.22799999999999954</v>
      </c>
    </row>
    <row r="223" spans="3:34" x14ac:dyDescent="0.25">
      <c r="C223" s="181">
        <v>2130</v>
      </c>
      <c r="D223" s="183">
        <v>0</v>
      </c>
      <c r="E223" s="185">
        <v>195</v>
      </c>
      <c r="F223" s="181">
        <v>195</v>
      </c>
      <c r="G223" s="185">
        <v>1935</v>
      </c>
      <c r="H223" s="185">
        <v>85.818599999999989</v>
      </c>
      <c r="I223" s="185">
        <v>71.37</v>
      </c>
      <c r="J223" s="185">
        <v>15.011999999999999</v>
      </c>
      <c r="K223" s="181">
        <v>48</v>
      </c>
      <c r="P223" s="186">
        <v>220.20060000000001</v>
      </c>
      <c r="Q223" s="186">
        <v>1714.7993999999999</v>
      </c>
      <c r="R223" s="183">
        <v>0.33</v>
      </c>
      <c r="S223" s="185">
        <v>-153.6</v>
      </c>
      <c r="T223" s="185">
        <v>412.28380199999992</v>
      </c>
      <c r="U223" s="185">
        <v>170.97994</v>
      </c>
      <c r="V223" s="187">
        <v>425.9338019999999</v>
      </c>
      <c r="X223" s="185">
        <v>2130</v>
      </c>
      <c r="Y223" s="185">
        <v>1374.535658</v>
      </c>
      <c r="Z223" s="183">
        <v>0.64532190516431931</v>
      </c>
      <c r="AA223" s="185">
        <v>172.20060000000001</v>
      </c>
      <c r="AB223" s="185">
        <v>412.28380199999992</v>
      </c>
      <c r="AC223" s="185">
        <v>170.97994</v>
      </c>
      <c r="AD223" s="185">
        <v>2130</v>
      </c>
      <c r="AE223" s="186">
        <v>11.400000000000091</v>
      </c>
      <c r="AF223" s="183">
        <v>0.22800000000000181</v>
      </c>
      <c r="AG223" s="186">
        <v>22.799999999999955</v>
      </c>
      <c r="AH223" s="183">
        <v>0.22799999999999954</v>
      </c>
    </row>
    <row r="224" spans="3:34" x14ac:dyDescent="0.25">
      <c r="C224" s="181">
        <v>2140</v>
      </c>
      <c r="D224" s="183">
        <v>0</v>
      </c>
      <c r="E224" s="185">
        <v>195</v>
      </c>
      <c r="F224" s="181">
        <v>195</v>
      </c>
      <c r="G224" s="185">
        <v>1945</v>
      </c>
      <c r="H224" s="185">
        <v>85.818599999999989</v>
      </c>
      <c r="I224" s="185">
        <v>71.37</v>
      </c>
      <c r="J224" s="185">
        <v>15.011999999999999</v>
      </c>
      <c r="K224" s="181">
        <v>48</v>
      </c>
      <c r="P224" s="186">
        <v>220.20060000000001</v>
      </c>
      <c r="Q224" s="186">
        <v>1724.7993999999999</v>
      </c>
      <c r="R224" s="183">
        <v>0.33</v>
      </c>
      <c r="S224" s="185">
        <v>-153.6</v>
      </c>
      <c r="T224" s="185">
        <v>415.58380199999999</v>
      </c>
      <c r="U224" s="185">
        <v>171.97994</v>
      </c>
      <c r="V224" s="187">
        <v>429.23380199999997</v>
      </c>
      <c r="X224" s="185">
        <v>2140</v>
      </c>
      <c r="Y224" s="185">
        <v>1380.2356580000001</v>
      </c>
      <c r="Z224" s="183">
        <v>0.64496993364485988</v>
      </c>
      <c r="AA224" s="185">
        <v>172.20060000000001</v>
      </c>
      <c r="AB224" s="185">
        <v>415.58380199999999</v>
      </c>
      <c r="AC224" s="185">
        <v>171.97994</v>
      </c>
      <c r="AD224" s="185">
        <v>2140</v>
      </c>
      <c r="AE224" s="186">
        <v>11.400000000000091</v>
      </c>
      <c r="AF224" s="183">
        <v>0.22800000000000181</v>
      </c>
      <c r="AG224" s="186">
        <v>22.799999999999955</v>
      </c>
      <c r="AH224" s="183">
        <v>0.22799999999999954</v>
      </c>
    </row>
    <row r="225" spans="3:34" x14ac:dyDescent="0.25">
      <c r="C225" s="181">
        <v>2150</v>
      </c>
      <c r="D225" s="183">
        <v>0</v>
      </c>
      <c r="E225" s="185">
        <v>195</v>
      </c>
      <c r="F225" s="181">
        <v>195</v>
      </c>
      <c r="G225" s="185">
        <v>1955</v>
      </c>
      <c r="H225" s="185">
        <v>85.818599999999989</v>
      </c>
      <c r="I225" s="185">
        <v>71.37</v>
      </c>
      <c r="J225" s="185">
        <v>15.011999999999999</v>
      </c>
      <c r="K225" s="181">
        <v>48</v>
      </c>
      <c r="P225" s="186">
        <v>220.20060000000001</v>
      </c>
      <c r="Q225" s="186">
        <v>1734.7993999999999</v>
      </c>
      <c r="R225" s="183">
        <v>0.33</v>
      </c>
      <c r="S225" s="185">
        <v>-153.6</v>
      </c>
      <c r="T225" s="185">
        <v>418.88380199999995</v>
      </c>
      <c r="U225" s="185">
        <v>172.97994</v>
      </c>
      <c r="V225" s="187">
        <v>432.53380199999992</v>
      </c>
      <c r="X225" s="185">
        <v>2150</v>
      </c>
      <c r="Y225" s="185">
        <v>1385.9356580000001</v>
      </c>
      <c r="Z225" s="183">
        <v>0.64462123627906986</v>
      </c>
      <c r="AA225" s="185">
        <v>172.20060000000001</v>
      </c>
      <c r="AB225" s="185">
        <v>418.88380199999995</v>
      </c>
      <c r="AC225" s="185">
        <v>172.97994</v>
      </c>
      <c r="AD225" s="185">
        <v>2150</v>
      </c>
      <c r="AE225" s="186">
        <v>11.400000000000091</v>
      </c>
      <c r="AF225" s="183">
        <v>0.22800000000000181</v>
      </c>
      <c r="AG225" s="186">
        <v>22.800000000000182</v>
      </c>
      <c r="AH225" s="183">
        <v>0.22800000000000181</v>
      </c>
    </row>
    <row r="226" spans="3:34" x14ac:dyDescent="0.25">
      <c r="C226" s="181">
        <v>2160</v>
      </c>
      <c r="D226" s="183">
        <v>0</v>
      </c>
      <c r="E226" s="185">
        <v>195</v>
      </c>
      <c r="F226" s="181">
        <v>195</v>
      </c>
      <c r="G226" s="185">
        <v>1965</v>
      </c>
      <c r="H226" s="185">
        <v>85.818599999999989</v>
      </c>
      <c r="I226" s="185">
        <v>71.37</v>
      </c>
      <c r="J226" s="185">
        <v>15.011999999999999</v>
      </c>
      <c r="K226" s="181">
        <v>48</v>
      </c>
      <c r="P226" s="186">
        <v>220.20060000000001</v>
      </c>
      <c r="Q226" s="186">
        <v>1744.7993999999999</v>
      </c>
      <c r="R226" s="183">
        <v>0.33</v>
      </c>
      <c r="S226" s="185">
        <v>-153.6</v>
      </c>
      <c r="T226" s="185">
        <v>422.18380200000001</v>
      </c>
      <c r="U226" s="185">
        <v>173.97994</v>
      </c>
      <c r="V226" s="187">
        <v>435.83380199999999</v>
      </c>
      <c r="X226" s="185">
        <v>2160</v>
      </c>
      <c r="Y226" s="185">
        <v>1391.6356579999999</v>
      </c>
      <c r="Z226" s="183">
        <v>0.64427576759259253</v>
      </c>
      <c r="AA226" s="185">
        <v>172.20060000000001</v>
      </c>
      <c r="AB226" s="185">
        <v>422.18380200000001</v>
      </c>
      <c r="AC226" s="185">
        <v>173.97994</v>
      </c>
      <c r="AD226" s="185">
        <v>2160</v>
      </c>
      <c r="AE226" s="186">
        <v>11.399999999999864</v>
      </c>
      <c r="AF226" s="183">
        <v>0.22799999999999726</v>
      </c>
      <c r="AG226" s="186">
        <v>22.799999999999955</v>
      </c>
      <c r="AH226" s="183">
        <v>0.22799999999999954</v>
      </c>
    </row>
    <row r="227" spans="3:34" x14ac:dyDescent="0.25">
      <c r="C227" s="181">
        <v>2170</v>
      </c>
      <c r="D227" s="183">
        <v>0</v>
      </c>
      <c r="E227" s="185">
        <v>195</v>
      </c>
      <c r="F227" s="181">
        <v>195</v>
      </c>
      <c r="G227" s="185">
        <v>1975</v>
      </c>
      <c r="H227" s="185">
        <v>85.818599999999989</v>
      </c>
      <c r="I227" s="185">
        <v>71.37</v>
      </c>
      <c r="J227" s="185">
        <v>15.011999999999999</v>
      </c>
      <c r="K227" s="181">
        <v>48</v>
      </c>
      <c r="P227" s="186">
        <v>220.20060000000001</v>
      </c>
      <c r="Q227" s="186">
        <v>1754.7993999999999</v>
      </c>
      <c r="R227" s="183">
        <v>0.33</v>
      </c>
      <c r="S227" s="185">
        <v>-153.6</v>
      </c>
      <c r="T227" s="185">
        <v>425.48380199999997</v>
      </c>
      <c r="U227" s="185">
        <v>174.97994</v>
      </c>
      <c r="V227" s="187">
        <v>439.13380199999995</v>
      </c>
      <c r="X227" s="185">
        <v>2170</v>
      </c>
      <c r="Y227" s="185">
        <v>1397.335658</v>
      </c>
      <c r="Z227" s="183">
        <v>0.64393348294930874</v>
      </c>
      <c r="AA227" s="185">
        <v>172.20060000000001</v>
      </c>
      <c r="AB227" s="185">
        <v>425.48380199999997</v>
      </c>
      <c r="AC227" s="185">
        <v>174.97994</v>
      </c>
      <c r="AD227" s="185">
        <v>2170</v>
      </c>
      <c r="AE227" s="186">
        <v>11.399999999999864</v>
      </c>
      <c r="AF227" s="183">
        <v>0.22799999999999726</v>
      </c>
      <c r="AG227" s="186">
        <v>22.799999999999955</v>
      </c>
      <c r="AH227" s="183">
        <v>0.22799999999999954</v>
      </c>
    </row>
    <row r="228" spans="3:34" x14ac:dyDescent="0.25">
      <c r="C228" s="181">
        <v>2180</v>
      </c>
      <c r="D228" s="183">
        <v>0</v>
      </c>
      <c r="E228" s="185">
        <v>195</v>
      </c>
      <c r="F228" s="181">
        <v>195</v>
      </c>
      <c r="G228" s="185">
        <v>1985</v>
      </c>
      <c r="H228" s="185">
        <v>85.818599999999989</v>
      </c>
      <c r="I228" s="185">
        <v>71.37</v>
      </c>
      <c r="J228" s="185">
        <v>15.011999999999999</v>
      </c>
      <c r="K228" s="181">
        <v>48</v>
      </c>
      <c r="P228" s="186">
        <v>220.20060000000001</v>
      </c>
      <c r="Q228" s="186">
        <v>1764.7993999999999</v>
      </c>
      <c r="R228" s="183">
        <v>0.33</v>
      </c>
      <c r="S228" s="185">
        <v>-153.6</v>
      </c>
      <c r="T228" s="185">
        <v>428.78380199999992</v>
      </c>
      <c r="U228" s="185">
        <v>175.97994</v>
      </c>
      <c r="V228" s="187">
        <v>442.4338019999999</v>
      </c>
      <c r="X228" s="185">
        <v>2180</v>
      </c>
      <c r="Y228" s="185">
        <v>1403.035658</v>
      </c>
      <c r="Z228" s="183">
        <v>0.64359433853211012</v>
      </c>
      <c r="AA228" s="185">
        <v>172.20060000000001</v>
      </c>
      <c r="AB228" s="185">
        <v>428.78380199999992</v>
      </c>
      <c r="AC228" s="185">
        <v>175.97994</v>
      </c>
      <c r="AD228" s="185">
        <v>2180</v>
      </c>
      <c r="AE228" s="186">
        <v>11.400000000000091</v>
      </c>
      <c r="AF228" s="183">
        <v>0.22800000000000181</v>
      </c>
      <c r="AG228" s="186">
        <v>22.799999999999955</v>
      </c>
      <c r="AH228" s="183">
        <v>0.22799999999999954</v>
      </c>
    </row>
    <row r="229" spans="3:34" x14ac:dyDescent="0.25">
      <c r="C229" s="181">
        <v>2190</v>
      </c>
      <c r="D229" s="183">
        <v>0</v>
      </c>
      <c r="E229" s="185">
        <v>195</v>
      </c>
      <c r="F229" s="181">
        <v>195</v>
      </c>
      <c r="G229" s="185">
        <v>1995</v>
      </c>
      <c r="H229" s="185">
        <v>85.818599999999989</v>
      </c>
      <c r="I229" s="185">
        <v>71.37</v>
      </c>
      <c r="J229" s="185">
        <v>15.011999999999999</v>
      </c>
      <c r="K229" s="181">
        <v>48</v>
      </c>
      <c r="P229" s="186">
        <v>220.20060000000001</v>
      </c>
      <c r="Q229" s="186">
        <v>1774.7993999999999</v>
      </c>
      <c r="R229" s="183">
        <v>0.33</v>
      </c>
      <c r="S229" s="185">
        <v>-153.6</v>
      </c>
      <c r="T229" s="185">
        <v>432.08380199999999</v>
      </c>
      <c r="U229" s="185">
        <v>176.97994</v>
      </c>
      <c r="V229" s="187">
        <v>445.73380199999997</v>
      </c>
      <c r="X229" s="185">
        <v>2190</v>
      </c>
      <c r="Y229" s="185">
        <v>1408.7356580000001</v>
      </c>
      <c r="Z229" s="183">
        <v>0.64325829132420098</v>
      </c>
      <c r="AA229" s="185">
        <v>172.20060000000001</v>
      </c>
      <c r="AB229" s="185">
        <v>432.08380199999999</v>
      </c>
      <c r="AC229" s="185">
        <v>176.97994</v>
      </c>
      <c r="AD229" s="185">
        <v>2190</v>
      </c>
      <c r="AE229" s="186">
        <v>11.400000000000091</v>
      </c>
      <c r="AF229" s="183">
        <v>0.22800000000000181</v>
      </c>
      <c r="AG229" s="186">
        <v>22.799999999999955</v>
      </c>
      <c r="AH229" s="183">
        <v>0.22799999999999954</v>
      </c>
    </row>
    <row r="230" spans="3:34" x14ac:dyDescent="0.25">
      <c r="C230" s="181">
        <v>2200</v>
      </c>
      <c r="D230" s="183">
        <v>0</v>
      </c>
      <c r="E230" s="185">
        <v>195</v>
      </c>
      <c r="F230" s="181">
        <v>195</v>
      </c>
      <c r="G230" s="185">
        <v>2005</v>
      </c>
      <c r="H230" s="185">
        <v>85.818599999999989</v>
      </c>
      <c r="I230" s="185">
        <v>71.37</v>
      </c>
      <c r="J230" s="185">
        <v>15.011999999999999</v>
      </c>
      <c r="K230" s="181">
        <v>48</v>
      </c>
      <c r="P230" s="186">
        <v>220.20060000000001</v>
      </c>
      <c r="Q230" s="186">
        <v>1784.7993999999999</v>
      </c>
      <c r="R230" s="183">
        <v>0.33</v>
      </c>
      <c r="S230" s="185">
        <v>-153.6</v>
      </c>
      <c r="T230" s="185">
        <v>435.38380199999995</v>
      </c>
      <c r="U230" s="185">
        <v>177.97994</v>
      </c>
      <c r="V230" s="187">
        <v>449.03380199999992</v>
      </c>
      <c r="X230" s="185">
        <v>2200</v>
      </c>
      <c r="Y230" s="185">
        <v>1414.4356580000001</v>
      </c>
      <c r="Z230" s="183">
        <v>0.64292529909090912</v>
      </c>
      <c r="AA230" s="185">
        <v>172.20060000000001</v>
      </c>
      <c r="AB230" s="185">
        <v>435.38380199999995</v>
      </c>
      <c r="AC230" s="185">
        <v>177.97994</v>
      </c>
      <c r="AD230" s="185">
        <v>2200</v>
      </c>
      <c r="AE230" s="186">
        <v>11.400000000000091</v>
      </c>
      <c r="AF230" s="183">
        <v>0.22800000000000181</v>
      </c>
      <c r="AG230" s="186">
        <v>22.800000000000182</v>
      </c>
      <c r="AH230" s="183">
        <v>0.22800000000000181</v>
      </c>
    </row>
    <row r="231" spans="3:34" x14ac:dyDescent="0.25">
      <c r="C231" s="181">
        <v>2210</v>
      </c>
      <c r="D231" s="183">
        <v>0</v>
      </c>
      <c r="E231" s="185">
        <v>195</v>
      </c>
      <c r="F231" s="181">
        <v>195</v>
      </c>
      <c r="G231" s="185">
        <v>2015</v>
      </c>
      <c r="H231" s="185">
        <v>85.818599999999989</v>
      </c>
      <c r="I231" s="185">
        <v>71.37</v>
      </c>
      <c r="J231" s="185">
        <v>15.011999999999999</v>
      </c>
      <c r="K231" s="181">
        <v>48</v>
      </c>
      <c r="P231" s="186">
        <v>220.20060000000001</v>
      </c>
      <c r="Q231" s="186">
        <v>1794.7993999999999</v>
      </c>
      <c r="R231" s="183">
        <v>0.33</v>
      </c>
      <c r="S231" s="185">
        <v>-153.6</v>
      </c>
      <c r="T231" s="185">
        <v>438.68380200000001</v>
      </c>
      <c r="U231" s="185">
        <v>178.97994</v>
      </c>
      <c r="V231" s="187">
        <v>452.33380199999999</v>
      </c>
      <c r="X231" s="185">
        <v>2210</v>
      </c>
      <c r="Y231" s="185">
        <v>1420.1356579999999</v>
      </c>
      <c r="Z231" s="183">
        <v>0.64259532036199096</v>
      </c>
      <c r="AA231" s="185">
        <v>172.20060000000001</v>
      </c>
      <c r="AB231" s="185">
        <v>438.68380200000001</v>
      </c>
      <c r="AC231" s="185">
        <v>178.97994</v>
      </c>
      <c r="AD231" s="185">
        <v>2210</v>
      </c>
      <c r="AE231" s="186">
        <v>11.399999999999864</v>
      </c>
      <c r="AF231" s="183">
        <v>0.22799999999999726</v>
      </c>
      <c r="AG231" s="186">
        <v>22.799999999999955</v>
      </c>
      <c r="AH231" s="183">
        <v>0.22799999999999954</v>
      </c>
    </row>
    <row r="232" spans="3:34" x14ac:dyDescent="0.25">
      <c r="C232" s="181">
        <v>2220</v>
      </c>
      <c r="D232" s="183">
        <v>0</v>
      </c>
      <c r="E232" s="185">
        <v>195</v>
      </c>
      <c r="F232" s="181">
        <v>195</v>
      </c>
      <c r="G232" s="185">
        <v>2025</v>
      </c>
      <c r="H232" s="185">
        <v>85.818599999999989</v>
      </c>
      <c r="I232" s="185">
        <v>71.37</v>
      </c>
      <c r="J232" s="185">
        <v>15.011999999999999</v>
      </c>
      <c r="K232" s="181">
        <v>48</v>
      </c>
      <c r="P232" s="186">
        <v>220.20060000000001</v>
      </c>
      <c r="Q232" s="186">
        <v>1804.7993999999999</v>
      </c>
      <c r="R232" s="183">
        <v>0.4</v>
      </c>
      <c r="S232" s="185">
        <v>-279.60000000000002</v>
      </c>
      <c r="T232" s="185">
        <v>442.31975999999997</v>
      </c>
      <c r="U232" s="185">
        <v>179.97994</v>
      </c>
      <c r="V232" s="187">
        <v>455.96975999999995</v>
      </c>
      <c r="X232" s="185">
        <v>2220</v>
      </c>
      <c r="Y232" s="185">
        <v>1425.4997000000001</v>
      </c>
      <c r="Z232" s="183">
        <v>0.64211698198198197</v>
      </c>
      <c r="AA232" s="185">
        <v>172.20060000000001</v>
      </c>
      <c r="AB232" s="185">
        <v>442.31975999999997</v>
      </c>
      <c r="AC232" s="185">
        <v>179.97994</v>
      </c>
      <c r="AD232" s="185">
        <v>2220</v>
      </c>
      <c r="AE232" s="186">
        <v>11.064041999999972</v>
      </c>
      <c r="AF232" s="183">
        <v>0.22128083999999945</v>
      </c>
      <c r="AG232" s="186">
        <v>22.464042000000063</v>
      </c>
      <c r="AH232" s="183">
        <v>0.22464042000000062</v>
      </c>
    </row>
    <row r="233" spans="3:34" x14ac:dyDescent="0.25">
      <c r="C233" s="181">
        <v>2230</v>
      </c>
      <c r="D233" s="183">
        <v>0</v>
      </c>
      <c r="E233" s="185">
        <v>195</v>
      </c>
      <c r="F233" s="181">
        <v>195</v>
      </c>
      <c r="G233" s="185">
        <v>2035</v>
      </c>
      <c r="H233" s="185">
        <v>85.818599999999989</v>
      </c>
      <c r="I233" s="185">
        <v>71.37</v>
      </c>
      <c r="J233" s="185">
        <v>15.011999999999999</v>
      </c>
      <c r="K233" s="181">
        <v>48</v>
      </c>
      <c r="P233" s="186">
        <v>220.20060000000001</v>
      </c>
      <c r="Q233" s="186">
        <v>1814.7993999999999</v>
      </c>
      <c r="R233" s="183">
        <v>0.4</v>
      </c>
      <c r="S233" s="185">
        <v>-279.60000000000002</v>
      </c>
      <c r="T233" s="185">
        <v>446.31975999999997</v>
      </c>
      <c r="U233" s="185">
        <v>180.97994</v>
      </c>
      <c r="V233" s="187">
        <v>459.96975999999995</v>
      </c>
      <c r="X233" s="185">
        <v>2230</v>
      </c>
      <c r="Y233" s="185">
        <v>1430.4997000000001</v>
      </c>
      <c r="Z233" s="183">
        <v>0.64147968609865469</v>
      </c>
      <c r="AA233" s="185">
        <v>172.20060000000001</v>
      </c>
      <c r="AB233" s="185">
        <v>446.31975999999997</v>
      </c>
      <c r="AC233" s="185">
        <v>180.97994</v>
      </c>
      <c r="AD233" s="185">
        <v>2230</v>
      </c>
      <c r="AE233" s="186">
        <v>10.364042000000154</v>
      </c>
      <c r="AF233" s="183">
        <v>0.20728084000000307</v>
      </c>
      <c r="AG233" s="186">
        <v>21.764042000000018</v>
      </c>
      <c r="AH233" s="183">
        <v>0.21764042000000017</v>
      </c>
    </row>
    <row r="234" spans="3:34" x14ac:dyDescent="0.25">
      <c r="C234" s="181">
        <v>2240</v>
      </c>
      <c r="D234" s="183">
        <v>0</v>
      </c>
      <c r="E234" s="185">
        <v>195</v>
      </c>
      <c r="F234" s="181">
        <v>195</v>
      </c>
      <c r="G234" s="185">
        <v>2045</v>
      </c>
      <c r="H234" s="185">
        <v>85.818599999999989</v>
      </c>
      <c r="I234" s="185">
        <v>71.37</v>
      </c>
      <c r="J234" s="185">
        <v>15.011999999999999</v>
      </c>
      <c r="K234" s="181">
        <v>48</v>
      </c>
      <c r="P234" s="186">
        <v>220.20060000000001</v>
      </c>
      <c r="Q234" s="186">
        <v>1824.7993999999999</v>
      </c>
      <c r="R234" s="183">
        <v>0.4</v>
      </c>
      <c r="S234" s="185">
        <v>-279.60000000000002</v>
      </c>
      <c r="T234" s="185">
        <v>450.31975999999997</v>
      </c>
      <c r="U234" s="185">
        <v>181.97994</v>
      </c>
      <c r="V234" s="187">
        <v>463.96975999999995</v>
      </c>
      <c r="X234" s="185">
        <v>2240</v>
      </c>
      <c r="Y234" s="185">
        <v>1435.4997000000001</v>
      </c>
      <c r="Z234" s="183">
        <v>0.64084808035714291</v>
      </c>
      <c r="AA234" s="185">
        <v>172.20060000000001</v>
      </c>
      <c r="AB234" s="185">
        <v>450.31975999999997</v>
      </c>
      <c r="AC234" s="185">
        <v>181.97994</v>
      </c>
      <c r="AD234" s="185">
        <v>2240</v>
      </c>
      <c r="AE234" s="186">
        <v>10</v>
      </c>
      <c r="AF234" s="183">
        <v>0.2</v>
      </c>
      <c r="AG234" s="186">
        <v>21.064041999999972</v>
      </c>
      <c r="AH234" s="183">
        <v>0.21064041999999972</v>
      </c>
    </row>
    <row r="235" spans="3:34" x14ac:dyDescent="0.25">
      <c r="C235" s="181">
        <v>2250</v>
      </c>
      <c r="D235" s="183">
        <v>0</v>
      </c>
      <c r="E235" s="185">
        <v>195</v>
      </c>
      <c r="F235" s="181">
        <v>195</v>
      </c>
      <c r="G235" s="185">
        <v>2055</v>
      </c>
      <c r="H235" s="185">
        <v>85.818599999999989</v>
      </c>
      <c r="I235" s="185">
        <v>71.37</v>
      </c>
      <c r="J235" s="185">
        <v>15.011999999999999</v>
      </c>
      <c r="K235" s="181">
        <v>48</v>
      </c>
      <c r="P235" s="186">
        <v>220.20060000000001</v>
      </c>
      <c r="Q235" s="186">
        <v>1834.7993999999999</v>
      </c>
      <c r="R235" s="183">
        <v>0.4</v>
      </c>
      <c r="S235" s="185">
        <v>-279.60000000000002</v>
      </c>
      <c r="T235" s="185">
        <v>454.31975999999997</v>
      </c>
      <c r="U235" s="185">
        <v>182.97994</v>
      </c>
      <c r="V235" s="187">
        <v>467.96975999999995</v>
      </c>
      <c r="X235" s="185">
        <v>2250</v>
      </c>
      <c r="Y235" s="185">
        <v>1440.4997000000001</v>
      </c>
      <c r="Z235" s="183">
        <v>0.64022208888888887</v>
      </c>
      <c r="AA235" s="185">
        <v>172.20060000000001</v>
      </c>
      <c r="AB235" s="185">
        <v>454.31975999999997</v>
      </c>
      <c r="AC235" s="185">
        <v>182.97994</v>
      </c>
      <c r="AD235" s="185">
        <v>2250</v>
      </c>
      <c r="AE235" s="186">
        <v>10</v>
      </c>
      <c r="AF235" s="183">
        <v>0.2</v>
      </c>
      <c r="AG235" s="186">
        <v>20.364042000000154</v>
      </c>
      <c r="AH235" s="183">
        <v>0.20364042000000154</v>
      </c>
    </row>
    <row r="236" spans="3:34" x14ac:dyDescent="0.25">
      <c r="C236" s="181">
        <v>2260</v>
      </c>
      <c r="D236" s="183">
        <v>0</v>
      </c>
      <c r="E236" s="185">
        <v>195</v>
      </c>
      <c r="F236" s="181">
        <v>195</v>
      </c>
      <c r="G236" s="185">
        <v>2065</v>
      </c>
      <c r="H236" s="185">
        <v>85.818599999999989</v>
      </c>
      <c r="I236" s="185">
        <v>71.37</v>
      </c>
      <c r="J236" s="185">
        <v>15.011999999999999</v>
      </c>
      <c r="K236" s="181">
        <v>48</v>
      </c>
      <c r="P236" s="186">
        <v>220.20060000000001</v>
      </c>
      <c r="Q236" s="186">
        <v>1844.7993999999999</v>
      </c>
      <c r="R236" s="183">
        <v>0.4</v>
      </c>
      <c r="S236" s="185">
        <v>-279.60000000000002</v>
      </c>
      <c r="T236" s="185">
        <v>458.31975999999997</v>
      </c>
      <c r="U236" s="185">
        <v>183.97994</v>
      </c>
      <c r="V236" s="187">
        <v>471.96975999999995</v>
      </c>
      <c r="X236" s="185">
        <v>2260</v>
      </c>
      <c r="Y236" s="185">
        <v>1445.4997000000001</v>
      </c>
      <c r="Z236" s="183">
        <v>0.63960163716814167</v>
      </c>
      <c r="AA236" s="185">
        <v>172.20060000000001</v>
      </c>
      <c r="AB236" s="185">
        <v>458.31975999999997</v>
      </c>
      <c r="AC236" s="185">
        <v>183.97994</v>
      </c>
      <c r="AD236" s="185">
        <v>2260</v>
      </c>
      <c r="AE236" s="186">
        <v>10</v>
      </c>
      <c r="AF236" s="183">
        <v>0.2</v>
      </c>
      <c r="AG236" s="186">
        <v>20</v>
      </c>
      <c r="AH236" s="183">
        <v>0.2</v>
      </c>
    </row>
    <row r="237" spans="3:34" x14ac:dyDescent="0.25">
      <c r="C237" s="181">
        <v>2270</v>
      </c>
      <c r="D237" s="183">
        <v>0</v>
      </c>
      <c r="E237" s="185">
        <v>195</v>
      </c>
      <c r="F237" s="181">
        <v>195</v>
      </c>
      <c r="G237" s="185">
        <v>2075</v>
      </c>
      <c r="H237" s="185">
        <v>85.818599999999989</v>
      </c>
      <c r="I237" s="185">
        <v>71.37</v>
      </c>
      <c r="J237" s="185">
        <v>15.011999999999999</v>
      </c>
      <c r="K237" s="181">
        <v>48</v>
      </c>
      <c r="P237" s="186">
        <v>220.20060000000001</v>
      </c>
      <c r="Q237" s="186">
        <v>1854.7993999999999</v>
      </c>
      <c r="R237" s="183">
        <v>0.4</v>
      </c>
      <c r="S237" s="185">
        <v>-279.60000000000002</v>
      </c>
      <c r="T237" s="185">
        <v>462.31975999999997</v>
      </c>
      <c r="U237" s="185">
        <v>184.97994</v>
      </c>
      <c r="V237" s="187">
        <v>475.96975999999995</v>
      </c>
      <c r="X237" s="185">
        <v>2270</v>
      </c>
      <c r="Y237" s="185">
        <v>1450.4997000000001</v>
      </c>
      <c r="Z237" s="183">
        <v>0.63898665198237892</v>
      </c>
      <c r="AA237" s="185">
        <v>172.20060000000001</v>
      </c>
      <c r="AB237" s="185">
        <v>462.31975999999997</v>
      </c>
      <c r="AC237" s="185">
        <v>184.97994</v>
      </c>
      <c r="AD237" s="185">
        <v>2270</v>
      </c>
      <c r="AE237" s="186">
        <v>10</v>
      </c>
      <c r="AF237" s="183">
        <v>0.2</v>
      </c>
      <c r="AG237" s="186">
        <v>20</v>
      </c>
      <c r="AH237" s="183">
        <v>0.2</v>
      </c>
    </row>
    <row r="238" spans="3:34" x14ac:dyDescent="0.25">
      <c r="C238" s="181">
        <v>2280</v>
      </c>
      <c r="D238" s="183">
        <v>0</v>
      </c>
      <c r="E238" s="185">
        <v>195</v>
      </c>
      <c r="F238" s="181">
        <v>195</v>
      </c>
      <c r="G238" s="185">
        <v>2085</v>
      </c>
      <c r="H238" s="185">
        <v>85.818599999999989</v>
      </c>
      <c r="I238" s="185">
        <v>71.37</v>
      </c>
      <c r="J238" s="185">
        <v>15.011999999999999</v>
      </c>
      <c r="K238" s="181">
        <v>48</v>
      </c>
      <c r="P238" s="186">
        <v>220.20060000000001</v>
      </c>
      <c r="Q238" s="186">
        <v>1864.7993999999999</v>
      </c>
      <c r="R238" s="183">
        <v>0.4</v>
      </c>
      <c r="S238" s="185">
        <v>-279.60000000000002</v>
      </c>
      <c r="T238" s="185">
        <v>466.31975999999997</v>
      </c>
      <c r="U238" s="185">
        <v>185.97994</v>
      </c>
      <c r="V238" s="187">
        <v>479.96975999999995</v>
      </c>
      <c r="X238" s="185">
        <v>2280</v>
      </c>
      <c r="Y238" s="185">
        <v>1455.4997000000001</v>
      </c>
      <c r="Z238" s="183">
        <v>0.63837706140350881</v>
      </c>
      <c r="AA238" s="185">
        <v>172.20060000000001</v>
      </c>
      <c r="AB238" s="185">
        <v>466.31975999999997</v>
      </c>
      <c r="AC238" s="185">
        <v>185.97994</v>
      </c>
      <c r="AD238" s="185">
        <v>2280</v>
      </c>
      <c r="AE238" s="186">
        <v>10</v>
      </c>
      <c r="AF238" s="183">
        <v>0.2</v>
      </c>
      <c r="AG238" s="186">
        <v>20</v>
      </c>
      <c r="AH238" s="183">
        <v>0.2</v>
      </c>
    </row>
    <row r="239" spans="3:34" x14ac:dyDescent="0.25">
      <c r="C239" s="181">
        <v>2290</v>
      </c>
      <c r="D239" s="183">
        <v>0</v>
      </c>
      <c r="E239" s="185">
        <v>195</v>
      </c>
      <c r="F239" s="181">
        <v>195</v>
      </c>
      <c r="G239" s="185">
        <v>2095</v>
      </c>
      <c r="H239" s="185">
        <v>85.818599999999989</v>
      </c>
      <c r="I239" s="185">
        <v>71.37</v>
      </c>
      <c r="J239" s="185">
        <v>15.011999999999999</v>
      </c>
      <c r="K239" s="181">
        <v>48</v>
      </c>
      <c r="P239" s="186">
        <v>220.20060000000001</v>
      </c>
      <c r="Q239" s="186">
        <v>1874.7993999999999</v>
      </c>
      <c r="R239" s="183">
        <v>0.4</v>
      </c>
      <c r="S239" s="185">
        <v>-279.60000000000002</v>
      </c>
      <c r="T239" s="185">
        <v>470.31975999999997</v>
      </c>
      <c r="U239" s="185">
        <v>186.97994</v>
      </c>
      <c r="V239" s="187">
        <v>483.96975999999995</v>
      </c>
      <c r="X239" s="185">
        <v>2290</v>
      </c>
      <c r="Y239" s="185">
        <v>1460.4997000000001</v>
      </c>
      <c r="Z239" s="183">
        <v>0.6377727947598254</v>
      </c>
      <c r="AA239" s="185">
        <v>172.20060000000001</v>
      </c>
      <c r="AB239" s="185">
        <v>470.31975999999997</v>
      </c>
      <c r="AC239" s="185">
        <v>186.97994</v>
      </c>
      <c r="AD239" s="185">
        <v>2290</v>
      </c>
      <c r="AE239" s="186">
        <v>10</v>
      </c>
      <c r="AF239" s="183">
        <v>0.2</v>
      </c>
      <c r="AG239" s="186">
        <v>20</v>
      </c>
      <c r="AH239" s="183">
        <v>0.2</v>
      </c>
    </row>
    <row r="240" spans="3:34" x14ac:dyDescent="0.25">
      <c r="C240" s="181">
        <v>2300</v>
      </c>
      <c r="D240" s="183">
        <v>0</v>
      </c>
      <c r="E240" s="185">
        <v>195</v>
      </c>
      <c r="F240" s="181">
        <v>195</v>
      </c>
      <c r="G240" s="185">
        <v>2105</v>
      </c>
      <c r="H240" s="185">
        <v>85.818599999999989</v>
      </c>
      <c r="I240" s="185">
        <v>71.37</v>
      </c>
      <c r="J240" s="185">
        <v>15.011999999999999</v>
      </c>
      <c r="K240" s="181">
        <v>48</v>
      </c>
      <c r="P240" s="186">
        <v>220.20060000000001</v>
      </c>
      <c r="Q240" s="186">
        <v>1884.7993999999999</v>
      </c>
      <c r="R240" s="183">
        <v>0.4</v>
      </c>
      <c r="S240" s="185">
        <v>-279.60000000000002</v>
      </c>
      <c r="T240" s="185">
        <v>474.31975999999997</v>
      </c>
      <c r="U240" s="185">
        <v>187.97994</v>
      </c>
      <c r="V240" s="187">
        <v>487.96975999999995</v>
      </c>
      <c r="X240" s="185">
        <v>2300</v>
      </c>
      <c r="Y240" s="185">
        <v>1465.4997000000001</v>
      </c>
      <c r="Z240" s="183">
        <v>0.63717378260869573</v>
      </c>
      <c r="AA240" s="185">
        <v>172.20060000000001</v>
      </c>
      <c r="AB240" s="185">
        <v>474.31975999999997</v>
      </c>
      <c r="AC240" s="185">
        <v>187.97994</v>
      </c>
      <c r="AD240" s="185">
        <v>2300</v>
      </c>
      <c r="AE240" s="186">
        <v>10</v>
      </c>
      <c r="AF240" s="183">
        <v>0.2</v>
      </c>
      <c r="AG240" s="186">
        <v>20</v>
      </c>
      <c r="AH240" s="183">
        <v>0.2</v>
      </c>
    </row>
    <row r="241" spans="3:34" x14ac:dyDescent="0.25">
      <c r="C241" s="181">
        <v>2310</v>
      </c>
      <c r="D241" s="183">
        <v>0</v>
      </c>
      <c r="E241" s="185">
        <v>195</v>
      </c>
      <c r="F241" s="181">
        <v>195</v>
      </c>
      <c r="G241" s="185">
        <v>2115</v>
      </c>
      <c r="H241" s="185">
        <v>85.818599999999989</v>
      </c>
      <c r="I241" s="185">
        <v>71.37</v>
      </c>
      <c r="J241" s="185">
        <v>15.011999999999999</v>
      </c>
      <c r="K241" s="181">
        <v>48</v>
      </c>
      <c r="P241" s="186">
        <v>220.20060000000001</v>
      </c>
      <c r="Q241" s="186">
        <v>1894.7993999999999</v>
      </c>
      <c r="R241" s="183">
        <v>0.4</v>
      </c>
      <c r="S241" s="185">
        <v>-279.60000000000002</v>
      </c>
      <c r="T241" s="185">
        <v>478.31975999999997</v>
      </c>
      <c r="U241" s="185">
        <v>188.97994</v>
      </c>
      <c r="V241" s="187">
        <v>491.96975999999995</v>
      </c>
      <c r="X241" s="185">
        <v>2310</v>
      </c>
      <c r="Y241" s="185">
        <v>1470.4997000000001</v>
      </c>
      <c r="Z241" s="183">
        <v>0.63657995670995671</v>
      </c>
      <c r="AA241" s="185">
        <v>172.20060000000001</v>
      </c>
      <c r="AB241" s="185">
        <v>478.31975999999997</v>
      </c>
      <c r="AC241" s="185">
        <v>188.97994</v>
      </c>
      <c r="AD241" s="185">
        <v>2310</v>
      </c>
      <c r="AE241" s="186">
        <v>10</v>
      </c>
      <c r="AF241" s="183">
        <v>0.2</v>
      </c>
      <c r="AG241" s="186">
        <v>20</v>
      </c>
      <c r="AH241" s="183">
        <v>0.2</v>
      </c>
    </row>
    <row r="242" spans="3:34" x14ac:dyDescent="0.25">
      <c r="C242" s="181">
        <v>2320</v>
      </c>
      <c r="D242" s="183">
        <v>0</v>
      </c>
      <c r="E242" s="185">
        <v>195</v>
      </c>
      <c r="F242" s="181">
        <v>195</v>
      </c>
      <c r="G242" s="185">
        <v>2125</v>
      </c>
      <c r="H242" s="185">
        <v>85.818599999999989</v>
      </c>
      <c r="I242" s="185">
        <v>71.37</v>
      </c>
      <c r="J242" s="185">
        <v>15.011999999999999</v>
      </c>
      <c r="K242" s="181">
        <v>48</v>
      </c>
      <c r="P242" s="186">
        <v>220.20060000000001</v>
      </c>
      <c r="Q242" s="186">
        <v>1904.7993999999999</v>
      </c>
      <c r="R242" s="183">
        <v>0.4</v>
      </c>
      <c r="S242" s="185">
        <v>-279.60000000000002</v>
      </c>
      <c r="T242" s="185">
        <v>482.31975999999997</v>
      </c>
      <c r="U242" s="185">
        <v>189.97994</v>
      </c>
      <c r="V242" s="187">
        <v>495.96975999999995</v>
      </c>
      <c r="X242" s="185">
        <v>2320</v>
      </c>
      <c r="Y242" s="185">
        <v>1475.4997000000001</v>
      </c>
      <c r="Z242" s="183">
        <v>0.63599125000000001</v>
      </c>
      <c r="AA242" s="185">
        <v>172.20060000000001</v>
      </c>
      <c r="AB242" s="185">
        <v>482.31975999999997</v>
      </c>
      <c r="AC242" s="185">
        <v>189.97994</v>
      </c>
      <c r="AD242" s="185">
        <v>2320</v>
      </c>
      <c r="AE242" s="186">
        <v>10</v>
      </c>
      <c r="AF242" s="183">
        <v>0.2</v>
      </c>
      <c r="AG242" s="186">
        <v>20</v>
      </c>
      <c r="AH242" s="183">
        <v>0.2</v>
      </c>
    </row>
    <row r="243" spans="3:34" x14ac:dyDescent="0.25">
      <c r="C243" s="181">
        <v>2330</v>
      </c>
      <c r="D243" s="183">
        <v>0</v>
      </c>
      <c r="E243" s="185">
        <v>195</v>
      </c>
      <c r="F243" s="181">
        <v>195</v>
      </c>
      <c r="G243" s="185">
        <v>2135</v>
      </c>
      <c r="H243" s="185">
        <v>85.818599999999989</v>
      </c>
      <c r="I243" s="185">
        <v>71.37</v>
      </c>
      <c r="J243" s="185">
        <v>15.011999999999999</v>
      </c>
      <c r="K243" s="181">
        <v>48</v>
      </c>
      <c r="P243" s="186">
        <v>220.20060000000001</v>
      </c>
      <c r="Q243" s="186">
        <v>1914.7993999999999</v>
      </c>
      <c r="R243" s="183">
        <v>0.4</v>
      </c>
      <c r="S243" s="185">
        <v>-279.60000000000002</v>
      </c>
      <c r="T243" s="185">
        <v>486.31975999999997</v>
      </c>
      <c r="U243" s="185">
        <v>190.97994</v>
      </c>
      <c r="V243" s="187">
        <v>499.96975999999995</v>
      </c>
      <c r="X243" s="185">
        <v>2330</v>
      </c>
      <c r="Y243" s="185">
        <v>1480.4997000000001</v>
      </c>
      <c r="Z243" s="183">
        <v>0.63540759656652368</v>
      </c>
      <c r="AA243" s="185">
        <v>172.20060000000001</v>
      </c>
      <c r="AB243" s="185">
        <v>486.31975999999997</v>
      </c>
      <c r="AC243" s="185">
        <v>190.97994</v>
      </c>
      <c r="AD243" s="185">
        <v>2330</v>
      </c>
      <c r="AE243" s="186">
        <v>10</v>
      </c>
      <c r="AF243" s="183">
        <v>0.2</v>
      </c>
      <c r="AG243" s="186">
        <v>20</v>
      </c>
      <c r="AH243" s="183">
        <v>0.2</v>
      </c>
    </row>
    <row r="244" spans="3:34" x14ac:dyDescent="0.25">
      <c r="C244" s="181">
        <v>2340</v>
      </c>
      <c r="D244" s="183">
        <v>0</v>
      </c>
      <c r="E244" s="185">
        <v>195</v>
      </c>
      <c r="F244" s="181">
        <v>195</v>
      </c>
      <c r="G244" s="185">
        <v>2145</v>
      </c>
      <c r="H244" s="185">
        <v>85.818599999999989</v>
      </c>
      <c r="I244" s="185">
        <v>71.37</v>
      </c>
      <c r="J244" s="185">
        <v>15.011999999999999</v>
      </c>
      <c r="K244" s="181">
        <v>48</v>
      </c>
      <c r="P244" s="186">
        <v>220.20060000000001</v>
      </c>
      <c r="Q244" s="186">
        <v>1924.7993999999999</v>
      </c>
      <c r="R244" s="183">
        <v>0.4</v>
      </c>
      <c r="S244" s="185">
        <v>-279.60000000000002</v>
      </c>
      <c r="T244" s="185">
        <v>490.31975999999997</v>
      </c>
      <c r="U244" s="185">
        <v>191.97994</v>
      </c>
      <c r="V244" s="187">
        <v>503.96975999999995</v>
      </c>
      <c r="X244" s="185">
        <v>2340</v>
      </c>
      <c r="Y244" s="185">
        <v>1485.4997000000001</v>
      </c>
      <c r="Z244" s="183">
        <v>0.63482893162393161</v>
      </c>
      <c r="AA244" s="185">
        <v>172.20060000000001</v>
      </c>
      <c r="AB244" s="185">
        <v>490.31975999999997</v>
      </c>
      <c r="AC244" s="185">
        <v>191.97994</v>
      </c>
      <c r="AD244" s="185">
        <v>2340</v>
      </c>
      <c r="AE244" s="186">
        <v>10</v>
      </c>
      <c r="AF244" s="183">
        <v>0.2</v>
      </c>
      <c r="AG244" s="186">
        <v>20</v>
      </c>
      <c r="AH244" s="183">
        <v>0.2</v>
      </c>
    </row>
    <row r="245" spans="3:34" x14ac:dyDescent="0.25">
      <c r="C245" s="181">
        <v>2350</v>
      </c>
      <c r="D245" s="183">
        <v>0</v>
      </c>
      <c r="E245" s="185">
        <v>195</v>
      </c>
      <c r="F245" s="181">
        <v>195</v>
      </c>
      <c r="G245" s="185">
        <v>2155</v>
      </c>
      <c r="H245" s="185">
        <v>85.818599999999989</v>
      </c>
      <c r="I245" s="185">
        <v>71.37</v>
      </c>
      <c r="J245" s="185">
        <v>15.011999999999999</v>
      </c>
      <c r="K245" s="181">
        <v>48</v>
      </c>
      <c r="P245" s="186">
        <v>220.20060000000001</v>
      </c>
      <c r="Q245" s="186">
        <v>1934.7993999999999</v>
      </c>
      <c r="R245" s="183">
        <v>0.4</v>
      </c>
      <c r="S245" s="185">
        <v>-279.60000000000002</v>
      </c>
      <c r="T245" s="185">
        <v>494.31975999999997</v>
      </c>
      <c r="U245" s="185">
        <v>192.97994</v>
      </c>
      <c r="V245" s="187">
        <v>507.96975999999995</v>
      </c>
      <c r="X245" s="185">
        <v>2350</v>
      </c>
      <c r="Y245" s="185">
        <v>1490.4997000000001</v>
      </c>
      <c r="Z245" s="183">
        <v>0.63425519148936171</v>
      </c>
      <c r="AA245" s="185">
        <v>172.20060000000001</v>
      </c>
      <c r="AB245" s="185">
        <v>494.31975999999997</v>
      </c>
      <c r="AC245" s="185">
        <v>192.97994</v>
      </c>
      <c r="AD245" s="185">
        <v>2350</v>
      </c>
      <c r="AE245" s="186">
        <v>10</v>
      </c>
      <c r="AF245" s="183">
        <v>0.2</v>
      </c>
      <c r="AG245" s="186">
        <v>20</v>
      </c>
      <c r="AH245" s="183">
        <v>0.2</v>
      </c>
    </row>
    <row r="246" spans="3:34" x14ac:dyDescent="0.25">
      <c r="C246" s="181">
        <v>2360</v>
      </c>
      <c r="D246" s="183">
        <v>0</v>
      </c>
      <c r="E246" s="185">
        <v>195</v>
      </c>
      <c r="F246" s="181">
        <v>195</v>
      </c>
      <c r="G246" s="185">
        <v>2165</v>
      </c>
      <c r="H246" s="185">
        <v>85.818599999999989</v>
      </c>
      <c r="I246" s="185">
        <v>71.37</v>
      </c>
      <c r="J246" s="185">
        <v>15.011999999999999</v>
      </c>
      <c r="K246" s="181">
        <v>48</v>
      </c>
      <c r="P246" s="186">
        <v>220.20060000000001</v>
      </c>
      <c r="Q246" s="186">
        <v>1944.7993999999999</v>
      </c>
      <c r="R246" s="183">
        <v>0.4</v>
      </c>
      <c r="S246" s="185">
        <v>-279.60000000000002</v>
      </c>
      <c r="T246" s="185">
        <v>498.31975999999997</v>
      </c>
      <c r="U246" s="185">
        <v>193.97994</v>
      </c>
      <c r="V246" s="187">
        <v>511.96975999999995</v>
      </c>
      <c r="X246" s="185">
        <v>2360</v>
      </c>
      <c r="Y246" s="185">
        <v>1495.4997000000001</v>
      </c>
      <c r="Z246" s="183">
        <v>0.63368631355932203</v>
      </c>
      <c r="AA246" s="185">
        <v>172.20060000000001</v>
      </c>
      <c r="AB246" s="185">
        <v>498.31975999999997</v>
      </c>
      <c r="AC246" s="185">
        <v>193.97994</v>
      </c>
      <c r="AD246" s="185">
        <v>2360</v>
      </c>
      <c r="AE246" s="186">
        <v>10</v>
      </c>
      <c r="AF246" s="183">
        <v>0.2</v>
      </c>
      <c r="AG246" s="186">
        <v>20</v>
      </c>
      <c r="AH246" s="183">
        <v>0.2</v>
      </c>
    </row>
    <row r="247" spans="3:34" x14ac:dyDescent="0.25">
      <c r="C247" s="181">
        <v>2370</v>
      </c>
      <c r="D247" s="183">
        <v>0</v>
      </c>
      <c r="E247" s="185">
        <v>195</v>
      </c>
      <c r="F247" s="181">
        <v>195</v>
      </c>
      <c r="G247" s="185">
        <v>2175</v>
      </c>
      <c r="H247" s="185">
        <v>85.818599999999989</v>
      </c>
      <c r="I247" s="185">
        <v>71.37</v>
      </c>
      <c r="J247" s="185">
        <v>15.011999999999999</v>
      </c>
      <c r="K247" s="181">
        <v>48</v>
      </c>
      <c r="P247" s="186">
        <v>220.20060000000001</v>
      </c>
      <c r="Q247" s="186">
        <v>1954.7993999999999</v>
      </c>
      <c r="R247" s="183">
        <v>0.4</v>
      </c>
      <c r="S247" s="185">
        <v>-279.60000000000002</v>
      </c>
      <c r="T247" s="185">
        <v>502.31975999999997</v>
      </c>
      <c r="U247" s="185">
        <v>194.97994</v>
      </c>
      <c r="V247" s="187">
        <v>515.96975999999995</v>
      </c>
      <c r="X247" s="185">
        <v>2370</v>
      </c>
      <c r="Y247" s="185">
        <v>1500.4997000000001</v>
      </c>
      <c r="Z247" s="183">
        <v>0.63312223628691988</v>
      </c>
      <c r="AA247" s="185">
        <v>172.20060000000001</v>
      </c>
      <c r="AB247" s="185">
        <v>502.31975999999997</v>
      </c>
      <c r="AC247" s="185">
        <v>194.97994</v>
      </c>
      <c r="AD247" s="185">
        <v>2370</v>
      </c>
      <c r="AE247" s="186">
        <v>10</v>
      </c>
      <c r="AF247" s="183">
        <v>0.2</v>
      </c>
      <c r="AG247" s="186">
        <v>20</v>
      </c>
      <c r="AH247" s="183">
        <v>0.2</v>
      </c>
    </row>
    <row r="248" spans="3:34" x14ac:dyDescent="0.25">
      <c r="C248" s="181">
        <v>2380</v>
      </c>
      <c r="D248" s="183">
        <v>0</v>
      </c>
      <c r="E248" s="185">
        <v>195</v>
      </c>
      <c r="F248" s="181">
        <v>195</v>
      </c>
      <c r="G248" s="185">
        <v>2185</v>
      </c>
      <c r="H248" s="185">
        <v>85.818599999999989</v>
      </c>
      <c r="I248" s="185">
        <v>71.37</v>
      </c>
      <c r="J248" s="185">
        <v>15.011999999999999</v>
      </c>
      <c r="K248" s="181">
        <v>48</v>
      </c>
      <c r="P248" s="186">
        <v>220.20060000000001</v>
      </c>
      <c r="Q248" s="186">
        <v>1964.7993999999999</v>
      </c>
      <c r="R248" s="183">
        <v>0.4</v>
      </c>
      <c r="S248" s="185">
        <v>-279.60000000000002</v>
      </c>
      <c r="T248" s="185">
        <v>506.31975999999997</v>
      </c>
      <c r="U248" s="185">
        <v>195.97994</v>
      </c>
      <c r="V248" s="187">
        <v>519.96975999999995</v>
      </c>
      <c r="X248" s="185">
        <v>2380</v>
      </c>
      <c r="Y248" s="185">
        <v>1505.4997000000001</v>
      </c>
      <c r="Z248" s="183">
        <v>0.63256289915966391</v>
      </c>
      <c r="AA248" s="185">
        <v>172.20060000000001</v>
      </c>
      <c r="AB248" s="185">
        <v>506.31975999999997</v>
      </c>
      <c r="AC248" s="185">
        <v>195.97994</v>
      </c>
      <c r="AD248" s="185">
        <v>2380</v>
      </c>
      <c r="AE248" s="186">
        <v>10</v>
      </c>
      <c r="AF248" s="183">
        <v>0.2</v>
      </c>
      <c r="AG248" s="186">
        <v>20</v>
      </c>
      <c r="AH248" s="183">
        <v>0.2</v>
      </c>
    </row>
    <row r="249" spans="3:34" x14ac:dyDescent="0.25">
      <c r="C249" s="181">
        <v>2390</v>
      </c>
      <c r="D249" s="183">
        <v>0</v>
      </c>
      <c r="E249" s="185">
        <v>195</v>
      </c>
      <c r="F249" s="181">
        <v>195</v>
      </c>
      <c r="G249" s="185">
        <v>2195</v>
      </c>
      <c r="H249" s="185">
        <v>85.818599999999989</v>
      </c>
      <c r="I249" s="185">
        <v>71.37</v>
      </c>
      <c r="J249" s="185">
        <v>15.011999999999999</v>
      </c>
      <c r="K249" s="181">
        <v>48</v>
      </c>
      <c r="P249" s="186">
        <v>220.20060000000001</v>
      </c>
      <c r="Q249" s="186">
        <v>1974.7993999999999</v>
      </c>
      <c r="R249" s="183">
        <v>0.4</v>
      </c>
      <c r="S249" s="185">
        <v>-279.60000000000002</v>
      </c>
      <c r="T249" s="185">
        <v>510.31975999999997</v>
      </c>
      <c r="U249" s="185">
        <v>196.97994</v>
      </c>
      <c r="V249" s="187">
        <v>523.96975999999995</v>
      </c>
      <c r="X249" s="185">
        <v>2390</v>
      </c>
      <c r="Y249" s="185">
        <v>1510.4997000000001</v>
      </c>
      <c r="Z249" s="183">
        <v>0.63200824267782429</v>
      </c>
      <c r="AA249" s="185">
        <v>172.20060000000001</v>
      </c>
      <c r="AB249" s="185">
        <v>510.31975999999997</v>
      </c>
      <c r="AC249" s="185">
        <v>196.97994</v>
      </c>
      <c r="AD249" s="185">
        <v>2390</v>
      </c>
      <c r="AE249" s="186">
        <v>10</v>
      </c>
      <c r="AF249" s="183">
        <v>0.2</v>
      </c>
      <c r="AG249" s="186">
        <v>20</v>
      </c>
      <c r="AH249" s="183">
        <v>0.2</v>
      </c>
    </row>
    <row r="250" spans="3:34" x14ac:dyDescent="0.25">
      <c r="C250" s="181">
        <v>2400</v>
      </c>
      <c r="D250" s="183">
        <v>0</v>
      </c>
      <c r="E250" s="185">
        <v>195</v>
      </c>
      <c r="F250" s="181">
        <v>195</v>
      </c>
      <c r="G250" s="185">
        <v>2205</v>
      </c>
      <c r="H250" s="185">
        <v>85.818599999999989</v>
      </c>
      <c r="I250" s="185">
        <v>71.37</v>
      </c>
      <c r="J250" s="185">
        <v>15.011999999999999</v>
      </c>
      <c r="K250" s="181">
        <v>48</v>
      </c>
      <c r="P250" s="186">
        <v>220.20060000000001</v>
      </c>
      <c r="Q250" s="186">
        <v>1984.7993999999999</v>
      </c>
      <c r="R250" s="183">
        <v>0.4</v>
      </c>
      <c r="S250" s="185">
        <v>-279.60000000000002</v>
      </c>
      <c r="T250" s="185">
        <v>514.31975999999997</v>
      </c>
      <c r="U250" s="185">
        <v>197.97994</v>
      </c>
      <c r="V250" s="187">
        <v>527.96975999999995</v>
      </c>
      <c r="X250" s="185">
        <v>2400</v>
      </c>
      <c r="Y250" s="185">
        <v>1515.4997000000001</v>
      </c>
      <c r="Z250" s="183">
        <v>0.63145820833333333</v>
      </c>
      <c r="AA250" s="185">
        <v>172.20060000000001</v>
      </c>
      <c r="AB250" s="185">
        <v>514.31975999999997</v>
      </c>
      <c r="AC250" s="185">
        <v>197.97994</v>
      </c>
      <c r="AD250" s="185">
        <v>2400</v>
      </c>
      <c r="AE250" s="186">
        <v>10</v>
      </c>
      <c r="AF250" s="183">
        <v>0.2</v>
      </c>
      <c r="AG250" s="186">
        <v>20</v>
      </c>
      <c r="AH250" s="183">
        <v>0.2</v>
      </c>
    </row>
    <row r="251" spans="3:34" x14ac:dyDescent="0.25">
      <c r="C251" s="181">
        <v>2410</v>
      </c>
      <c r="D251" s="183">
        <v>0</v>
      </c>
      <c r="E251" s="185">
        <v>195</v>
      </c>
      <c r="F251" s="181">
        <v>195</v>
      </c>
      <c r="G251" s="185">
        <v>2215</v>
      </c>
      <c r="H251" s="185">
        <v>85.818599999999989</v>
      </c>
      <c r="I251" s="185">
        <v>71.37</v>
      </c>
      <c r="J251" s="185">
        <v>15.011999999999999</v>
      </c>
      <c r="K251" s="181">
        <v>48</v>
      </c>
      <c r="P251" s="186">
        <v>220.20060000000001</v>
      </c>
      <c r="Q251" s="186">
        <v>1994.7993999999999</v>
      </c>
      <c r="R251" s="183">
        <v>0.4</v>
      </c>
      <c r="S251" s="185">
        <v>-279.60000000000002</v>
      </c>
      <c r="T251" s="185">
        <v>518.31975999999997</v>
      </c>
      <c r="U251" s="185">
        <v>198.97994</v>
      </c>
      <c r="V251" s="187">
        <v>531.96975999999995</v>
      </c>
      <c r="X251" s="185">
        <v>2410</v>
      </c>
      <c r="Y251" s="185">
        <v>1520.4997000000001</v>
      </c>
      <c r="Z251" s="183">
        <v>0.6309127385892116</v>
      </c>
      <c r="AA251" s="185">
        <v>172.20060000000001</v>
      </c>
      <c r="AB251" s="185">
        <v>518.31975999999997</v>
      </c>
      <c r="AC251" s="185">
        <v>198.97994</v>
      </c>
      <c r="AD251" s="185">
        <v>2410</v>
      </c>
      <c r="AE251" s="186">
        <v>10</v>
      </c>
      <c r="AF251" s="183">
        <v>0.2</v>
      </c>
      <c r="AG251" s="186">
        <v>20</v>
      </c>
      <c r="AH251" s="183">
        <v>0.2</v>
      </c>
    </row>
    <row r="252" spans="3:34" x14ac:dyDescent="0.25">
      <c r="C252" s="181">
        <v>2420</v>
      </c>
      <c r="D252" s="183">
        <v>0</v>
      </c>
      <c r="E252" s="185">
        <v>195</v>
      </c>
      <c r="F252" s="181">
        <v>195</v>
      </c>
      <c r="G252" s="185">
        <v>2225</v>
      </c>
      <c r="H252" s="185">
        <v>85.818599999999989</v>
      </c>
      <c r="I252" s="185">
        <v>71.37</v>
      </c>
      <c r="J252" s="185">
        <v>15.011999999999999</v>
      </c>
      <c r="K252" s="181">
        <v>48</v>
      </c>
      <c r="P252" s="186">
        <v>220.20060000000001</v>
      </c>
      <c r="Q252" s="186">
        <v>2004.7993999999999</v>
      </c>
      <c r="R252" s="183">
        <v>0.4</v>
      </c>
      <c r="S252" s="185">
        <v>-279.60000000000002</v>
      </c>
      <c r="T252" s="185">
        <v>522.31975999999997</v>
      </c>
      <c r="U252" s="185">
        <v>199.97994</v>
      </c>
      <c r="V252" s="187">
        <v>535.96975999999995</v>
      </c>
      <c r="X252" s="185">
        <v>2420</v>
      </c>
      <c r="Y252" s="185">
        <v>1525.4997000000001</v>
      </c>
      <c r="Z252" s="183">
        <v>0.63037177685950418</v>
      </c>
      <c r="AA252" s="185">
        <v>172.20060000000001</v>
      </c>
      <c r="AB252" s="185">
        <v>522.31975999999997</v>
      </c>
      <c r="AC252" s="185">
        <v>199.97994</v>
      </c>
      <c r="AD252" s="185">
        <v>2420</v>
      </c>
      <c r="AE252" s="186">
        <v>10</v>
      </c>
      <c r="AF252" s="183">
        <v>0.2</v>
      </c>
      <c r="AG252" s="186">
        <v>20</v>
      </c>
      <c r="AH252" s="183">
        <v>0.2</v>
      </c>
    </row>
    <row r="253" spans="3:34" x14ac:dyDescent="0.25">
      <c r="C253" s="181">
        <v>2430</v>
      </c>
      <c r="D253" s="183">
        <v>0</v>
      </c>
      <c r="E253" s="185">
        <v>195</v>
      </c>
      <c r="F253" s="181">
        <v>195</v>
      </c>
      <c r="G253" s="185">
        <v>2235</v>
      </c>
      <c r="H253" s="185">
        <v>85.818599999999989</v>
      </c>
      <c r="I253" s="185">
        <v>71.37</v>
      </c>
      <c r="J253" s="185">
        <v>15.011999999999999</v>
      </c>
      <c r="K253" s="181">
        <v>48</v>
      </c>
      <c r="P253" s="186">
        <v>220.20060000000001</v>
      </c>
      <c r="Q253" s="186">
        <v>2014.7993999999999</v>
      </c>
      <c r="R253" s="183">
        <v>0.4</v>
      </c>
      <c r="S253" s="185">
        <v>-279.60000000000002</v>
      </c>
      <c r="T253" s="185">
        <v>526.31975999999997</v>
      </c>
      <c r="U253" s="185">
        <v>200.97994</v>
      </c>
      <c r="V253" s="187">
        <v>539.96975999999995</v>
      </c>
      <c r="X253" s="185">
        <v>2430</v>
      </c>
      <c r="Y253" s="185">
        <v>1530.4997000000001</v>
      </c>
      <c r="Z253" s="183">
        <v>0.62983526748971197</v>
      </c>
      <c r="AA253" s="185">
        <v>172.20060000000001</v>
      </c>
      <c r="AB253" s="185">
        <v>526.31975999999997</v>
      </c>
      <c r="AC253" s="185">
        <v>200.97994</v>
      </c>
      <c r="AD253" s="185">
        <v>2430</v>
      </c>
      <c r="AE253" s="186">
        <v>10</v>
      </c>
      <c r="AF253" s="183">
        <v>0.2</v>
      </c>
      <c r="AG253" s="186">
        <v>20</v>
      </c>
      <c r="AH253" s="183">
        <v>0.2</v>
      </c>
    </row>
    <row r="254" spans="3:34" x14ac:dyDescent="0.25">
      <c r="C254" s="181">
        <v>2440</v>
      </c>
      <c r="D254" s="183">
        <v>0</v>
      </c>
      <c r="E254" s="185">
        <v>195</v>
      </c>
      <c r="F254" s="181">
        <v>195</v>
      </c>
      <c r="G254" s="185">
        <v>2245</v>
      </c>
      <c r="H254" s="185">
        <v>85.818599999999989</v>
      </c>
      <c r="I254" s="185">
        <v>71.37</v>
      </c>
      <c r="J254" s="185">
        <v>15.011999999999999</v>
      </c>
      <c r="K254" s="181">
        <v>48</v>
      </c>
      <c r="P254" s="186">
        <v>220.20060000000001</v>
      </c>
      <c r="Q254" s="186">
        <v>2024.7993999999999</v>
      </c>
      <c r="R254" s="183">
        <v>0.4</v>
      </c>
      <c r="S254" s="185">
        <v>-279.60000000000002</v>
      </c>
      <c r="T254" s="185">
        <v>530.31975999999997</v>
      </c>
      <c r="U254" s="185">
        <v>201.97994</v>
      </c>
      <c r="V254" s="187">
        <v>543.96975999999995</v>
      </c>
      <c r="X254" s="185">
        <v>2440</v>
      </c>
      <c r="Y254" s="185">
        <v>1535.4997000000001</v>
      </c>
      <c r="Z254" s="183">
        <v>0.6293031557377049</v>
      </c>
      <c r="AA254" s="185">
        <v>172.20060000000001</v>
      </c>
      <c r="AB254" s="185">
        <v>530.31975999999997</v>
      </c>
      <c r="AC254" s="185">
        <v>201.97994</v>
      </c>
      <c r="AD254" s="185">
        <v>2440</v>
      </c>
      <c r="AE254" s="186">
        <v>10</v>
      </c>
      <c r="AF254" s="183">
        <v>0.2</v>
      </c>
      <c r="AG254" s="186">
        <v>20</v>
      </c>
      <c r="AH254" s="183">
        <v>0.2</v>
      </c>
    </row>
    <row r="255" spans="3:34" x14ac:dyDescent="0.25">
      <c r="C255" s="181">
        <v>2450</v>
      </c>
      <c r="D255" s="183">
        <v>0</v>
      </c>
      <c r="E255" s="185">
        <v>195</v>
      </c>
      <c r="F255" s="181">
        <v>195</v>
      </c>
      <c r="G255" s="185">
        <v>2255</v>
      </c>
      <c r="H255" s="185">
        <v>85.818599999999989</v>
      </c>
      <c r="I255" s="185">
        <v>71.37</v>
      </c>
      <c r="J255" s="185">
        <v>15.011999999999999</v>
      </c>
      <c r="K255" s="181">
        <v>48</v>
      </c>
      <c r="P255" s="186">
        <v>220.20060000000001</v>
      </c>
      <c r="Q255" s="186">
        <v>2034.7993999999999</v>
      </c>
      <c r="R255" s="183">
        <v>0.4</v>
      </c>
      <c r="S255" s="185">
        <v>-279.60000000000002</v>
      </c>
      <c r="T255" s="185">
        <v>534.31975999999997</v>
      </c>
      <c r="U255" s="185">
        <v>202.97994</v>
      </c>
      <c r="V255" s="187">
        <v>547.96975999999995</v>
      </c>
      <c r="X255" s="185">
        <v>2450</v>
      </c>
      <c r="Y255" s="185">
        <v>1540.4997000000001</v>
      </c>
      <c r="Z255" s="183">
        <v>0.62877538775510211</v>
      </c>
      <c r="AA255" s="185">
        <v>172.20060000000001</v>
      </c>
      <c r="AB255" s="185">
        <v>534.31975999999997</v>
      </c>
      <c r="AC255" s="185">
        <v>202.97994</v>
      </c>
      <c r="AD255" s="185">
        <v>2450</v>
      </c>
      <c r="AE255" s="186">
        <v>10</v>
      </c>
      <c r="AF255" s="183">
        <v>0.2</v>
      </c>
      <c r="AG255" s="186">
        <v>20</v>
      </c>
      <c r="AH255" s="183">
        <v>0.2</v>
      </c>
    </row>
    <row r="256" spans="3:34" x14ac:dyDescent="0.25">
      <c r="C256" s="181">
        <v>2460</v>
      </c>
      <c r="D256" s="183">
        <v>0</v>
      </c>
      <c r="E256" s="185">
        <v>195</v>
      </c>
      <c r="F256" s="181">
        <v>195</v>
      </c>
      <c r="G256" s="185">
        <v>2265</v>
      </c>
      <c r="H256" s="185">
        <v>85.818599999999989</v>
      </c>
      <c r="I256" s="185">
        <v>71.37</v>
      </c>
      <c r="J256" s="185">
        <v>15.011999999999999</v>
      </c>
      <c r="K256" s="181">
        <v>48</v>
      </c>
      <c r="P256" s="186">
        <v>220.20060000000001</v>
      </c>
      <c r="Q256" s="186">
        <v>2044.7993999999999</v>
      </c>
      <c r="R256" s="183">
        <v>0.4</v>
      </c>
      <c r="S256" s="185">
        <v>-279.60000000000002</v>
      </c>
      <c r="T256" s="185">
        <v>538.31975999999997</v>
      </c>
      <c r="U256" s="185">
        <v>203.97994</v>
      </c>
      <c r="V256" s="187">
        <v>551.96975999999995</v>
      </c>
      <c r="X256" s="185">
        <v>2460</v>
      </c>
      <c r="Y256" s="185">
        <v>1545.4997000000001</v>
      </c>
      <c r="Z256" s="183">
        <v>0.62825191056910568</v>
      </c>
      <c r="AA256" s="185">
        <v>172.20060000000001</v>
      </c>
      <c r="AB256" s="185">
        <v>538.31975999999997</v>
      </c>
      <c r="AC256" s="185">
        <v>203.97994</v>
      </c>
      <c r="AD256" s="185">
        <v>2460</v>
      </c>
      <c r="AE256" s="186">
        <v>10</v>
      </c>
      <c r="AF256" s="183">
        <v>0.2</v>
      </c>
      <c r="AG256" s="186">
        <v>20</v>
      </c>
      <c r="AH256" s="183">
        <v>0.2</v>
      </c>
    </row>
    <row r="257" spans="3:34" x14ac:dyDescent="0.25">
      <c r="C257" s="181">
        <v>2470</v>
      </c>
      <c r="D257" s="183">
        <v>0</v>
      </c>
      <c r="E257" s="185">
        <v>195</v>
      </c>
      <c r="F257" s="181">
        <v>195</v>
      </c>
      <c r="G257" s="185">
        <v>2275</v>
      </c>
      <c r="H257" s="185">
        <v>85.818599999999989</v>
      </c>
      <c r="I257" s="185">
        <v>71.37</v>
      </c>
      <c r="J257" s="185">
        <v>15.011999999999999</v>
      </c>
      <c r="K257" s="181">
        <v>48</v>
      </c>
      <c r="P257" s="186">
        <v>220.20060000000001</v>
      </c>
      <c r="Q257" s="186">
        <v>2054.7993999999999</v>
      </c>
      <c r="R257" s="183">
        <v>0.4</v>
      </c>
      <c r="S257" s="185">
        <v>-279.60000000000002</v>
      </c>
      <c r="T257" s="185">
        <v>542.31975999999997</v>
      </c>
      <c r="U257" s="185">
        <v>204.97994</v>
      </c>
      <c r="V257" s="187">
        <v>555.96975999999995</v>
      </c>
      <c r="X257" s="185">
        <v>2470</v>
      </c>
      <c r="Y257" s="185">
        <v>1550.4997000000001</v>
      </c>
      <c r="Z257" s="183">
        <v>0.62773267206477734</v>
      </c>
      <c r="AA257" s="185">
        <v>172.20060000000001</v>
      </c>
      <c r="AB257" s="185">
        <v>542.31975999999997</v>
      </c>
      <c r="AC257" s="185">
        <v>204.97994</v>
      </c>
      <c r="AD257" s="185">
        <v>2470</v>
      </c>
      <c r="AE257" s="186">
        <v>10</v>
      </c>
      <c r="AF257" s="183">
        <v>0.2</v>
      </c>
      <c r="AG257" s="186">
        <v>20</v>
      </c>
      <c r="AH257" s="183">
        <v>0.2</v>
      </c>
    </row>
    <row r="258" spans="3:34" x14ac:dyDescent="0.25">
      <c r="C258" s="181">
        <v>2480</v>
      </c>
      <c r="D258" s="183">
        <v>0</v>
      </c>
      <c r="E258" s="185">
        <v>195</v>
      </c>
      <c r="F258" s="181">
        <v>195</v>
      </c>
      <c r="G258" s="185">
        <v>2285</v>
      </c>
      <c r="H258" s="185">
        <v>85.818599999999989</v>
      </c>
      <c r="I258" s="185">
        <v>71.37</v>
      </c>
      <c r="J258" s="185">
        <v>15.011999999999999</v>
      </c>
      <c r="K258" s="181">
        <v>48</v>
      </c>
      <c r="P258" s="186">
        <v>220.20060000000001</v>
      </c>
      <c r="Q258" s="186">
        <v>2064.7993999999999</v>
      </c>
      <c r="R258" s="183">
        <v>0.4</v>
      </c>
      <c r="S258" s="185">
        <v>-279.60000000000002</v>
      </c>
      <c r="T258" s="185">
        <v>546.31975999999997</v>
      </c>
      <c r="U258" s="185">
        <v>205.97994</v>
      </c>
      <c r="V258" s="187">
        <v>559.96975999999995</v>
      </c>
      <c r="X258" s="185">
        <v>2480</v>
      </c>
      <c r="Y258" s="185">
        <v>1555.4997000000001</v>
      </c>
      <c r="Z258" s="183">
        <v>0.62721762096774192</v>
      </c>
      <c r="AA258" s="185">
        <v>172.20060000000001</v>
      </c>
      <c r="AB258" s="185">
        <v>546.31975999999997</v>
      </c>
      <c r="AC258" s="185">
        <v>205.97994</v>
      </c>
      <c r="AD258" s="185">
        <v>2480</v>
      </c>
      <c r="AE258" s="186">
        <v>10</v>
      </c>
      <c r="AF258" s="183">
        <v>0.2</v>
      </c>
      <c r="AG258" s="186">
        <v>20</v>
      </c>
      <c r="AH258" s="183">
        <v>0.2</v>
      </c>
    </row>
    <row r="259" spans="3:34" x14ac:dyDescent="0.25">
      <c r="C259" s="181">
        <v>2490</v>
      </c>
      <c r="D259" s="183">
        <v>0</v>
      </c>
      <c r="E259" s="185">
        <v>195</v>
      </c>
      <c r="F259" s="181">
        <v>195</v>
      </c>
      <c r="G259" s="185">
        <v>2295</v>
      </c>
      <c r="H259" s="185">
        <v>85.818599999999989</v>
      </c>
      <c r="I259" s="185">
        <v>71.37</v>
      </c>
      <c r="J259" s="185">
        <v>15.011999999999999</v>
      </c>
      <c r="K259" s="181">
        <v>48</v>
      </c>
      <c r="P259" s="186">
        <v>220.20060000000001</v>
      </c>
      <c r="Q259" s="186">
        <v>2074.7993999999999</v>
      </c>
      <c r="R259" s="183">
        <v>0.4</v>
      </c>
      <c r="S259" s="185">
        <v>-279.60000000000002</v>
      </c>
      <c r="T259" s="185">
        <v>550.31975999999997</v>
      </c>
      <c r="U259" s="185">
        <v>206.97994</v>
      </c>
      <c r="V259" s="187">
        <v>563.96975999999995</v>
      </c>
      <c r="X259" s="185">
        <v>2490</v>
      </c>
      <c r="Y259" s="185">
        <v>1560.4997000000001</v>
      </c>
      <c r="Z259" s="183">
        <v>0.62670670682730922</v>
      </c>
      <c r="AA259" s="185">
        <v>172.20060000000001</v>
      </c>
      <c r="AB259" s="185">
        <v>550.31975999999997</v>
      </c>
      <c r="AC259" s="185">
        <v>206.97994</v>
      </c>
      <c r="AD259" s="185">
        <v>2490</v>
      </c>
      <c r="AE259" s="186">
        <v>10</v>
      </c>
      <c r="AF259" s="183">
        <v>0.2</v>
      </c>
      <c r="AG259" s="186">
        <v>20</v>
      </c>
      <c r="AH259" s="183">
        <v>0.2</v>
      </c>
    </row>
    <row r="260" spans="3:34" x14ac:dyDescent="0.25">
      <c r="C260" s="181">
        <v>2500</v>
      </c>
      <c r="D260" s="183">
        <v>0</v>
      </c>
      <c r="E260" s="185">
        <v>195</v>
      </c>
      <c r="F260" s="181">
        <v>195</v>
      </c>
      <c r="G260" s="185">
        <v>2305</v>
      </c>
      <c r="H260" s="185">
        <v>85.818599999999989</v>
      </c>
      <c r="I260" s="185">
        <v>71.37</v>
      </c>
      <c r="J260" s="185">
        <v>15.011999999999999</v>
      </c>
      <c r="K260" s="181">
        <v>48</v>
      </c>
      <c r="P260" s="186">
        <v>220.20060000000001</v>
      </c>
      <c r="Q260" s="186">
        <v>2084.7993999999999</v>
      </c>
      <c r="R260" s="183">
        <v>0.4</v>
      </c>
      <c r="S260" s="185">
        <v>-279.60000000000002</v>
      </c>
      <c r="T260" s="185">
        <v>554.31975999999997</v>
      </c>
      <c r="U260" s="185">
        <v>207.97994</v>
      </c>
      <c r="V260" s="187">
        <v>567.96975999999995</v>
      </c>
      <c r="X260" s="185">
        <v>2500</v>
      </c>
      <c r="Y260" s="185">
        <v>1565.4997000000001</v>
      </c>
      <c r="Z260" s="183">
        <v>0.62619988000000004</v>
      </c>
      <c r="AA260" s="185">
        <v>172.20060000000001</v>
      </c>
      <c r="AB260" s="185">
        <v>554.31975999999997</v>
      </c>
      <c r="AC260" s="185">
        <v>207.97994</v>
      </c>
      <c r="AD260" s="185">
        <v>2500</v>
      </c>
      <c r="AE260" s="186">
        <v>10</v>
      </c>
      <c r="AF260" s="183">
        <v>0.2</v>
      </c>
      <c r="AG260" s="186">
        <v>20</v>
      </c>
      <c r="AH260" s="183">
        <v>0.2</v>
      </c>
    </row>
    <row r="261" spans="3:34" x14ac:dyDescent="0.25">
      <c r="C261" s="181">
        <v>2510</v>
      </c>
      <c r="D261" s="183">
        <v>0</v>
      </c>
      <c r="E261" s="185">
        <v>195</v>
      </c>
      <c r="F261" s="181">
        <v>195</v>
      </c>
      <c r="G261" s="185">
        <v>2315</v>
      </c>
      <c r="H261" s="185">
        <v>85.818599999999989</v>
      </c>
      <c r="I261" s="185">
        <v>71.37</v>
      </c>
      <c r="J261" s="185">
        <v>15.011999999999999</v>
      </c>
      <c r="K261" s="181">
        <v>48</v>
      </c>
      <c r="P261" s="186">
        <v>220.20060000000001</v>
      </c>
      <c r="Q261" s="186">
        <v>2094.7993999999999</v>
      </c>
      <c r="R261" s="183">
        <v>0.4</v>
      </c>
      <c r="S261" s="185">
        <v>-279.60000000000002</v>
      </c>
      <c r="T261" s="185">
        <v>558.31975999999997</v>
      </c>
      <c r="U261" s="185">
        <v>208.97994</v>
      </c>
      <c r="V261" s="187">
        <v>571.96975999999995</v>
      </c>
      <c r="X261" s="185">
        <v>2510</v>
      </c>
      <c r="Y261" s="185">
        <v>1570.4997000000001</v>
      </c>
      <c r="Z261" s="183">
        <v>0.62569709163346621</v>
      </c>
      <c r="AA261" s="185">
        <v>172.20060000000001</v>
      </c>
      <c r="AB261" s="185">
        <v>558.31975999999997</v>
      </c>
      <c r="AC261" s="185">
        <v>208.97994</v>
      </c>
      <c r="AD261" s="185">
        <v>2510</v>
      </c>
      <c r="AE261" s="186">
        <v>10</v>
      </c>
      <c r="AF261" s="183">
        <v>0.2</v>
      </c>
      <c r="AG261" s="186">
        <v>20</v>
      </c>
      <c r="AH261" s="183">
        <v>0.2</v>
      </c>
    </row>
    <row r="262" spans="3:34" x14ac:dyDescent="0.25">
      <c r="C262" s="181">
        <v>2520</v>
      </c>
      <c r="D262" s="183">
        <v>0</v>
      </c>
      <c r="E262" s="185">
        <v>195</v>
      </c>
      <c r="F262" s="181">
        <v>195</v>
      </c>
      <c r="G262" s="185">
        <v>2325</v>
      </c>
      <c r="H262" s="185">
        <v>85.818599999999989</v>
      </c>
      <c r="I262" s="185">
        <v>71.37</v>
      </c>
      <c r="J262" s="185">
        <v>15.011999999999999</v>
      </c>
      <c r="K262" s="181">
        <v>48</v>
      </c>
      <c r="P262" s="186">
        <v>220.20060000000001</v>
      </c>
      <c r="Q262" s="186">
        <v>2104.7993999999999</v>
      </c>
      <c r="R262" s="183">
        <v>0.4</v>
      </c>
      <c r="S262" s="185">
        <v>-279.60000000000002</v>
      </c>
      <c r="T262" s="185">
        <v>562.31975999999997</v>
      </c>
      <c r="U262" s="185">
        <v>209.97994</v>
      </c>
      <c r="V262" s="187">
        <v>575.96975999999995</v>
      </c>
      <c r="X262" s="185">
        <v>2520</v>
      </c>
      <c r="Y262" s="185">
        <v>1575.4997000000001</v>
      </c>
      <c r="Z262" s="183">
        <v>0.62519829365079371</v>
      </c>
      <c r="AA262" s="185">
        <v>172.20060000000001</v>
      </c>
      <c r="AB262" s="185">
        <v>562.31975999999997</v>
      </c>
      <c r="AC262" s="185">
        <v>209.97994</v>
      </c>
      <c r="AD262" s="185">
        <v>2520</v>
      </c>
      <c r="AE262" s="186">
        <v>10</v>
      </c>
      <c r="AF262" s="183">
        <v>0.2</v>
      </c>
      <c r="AG262" s="186">
        <v>20</v>
      </c>
      <c r="AH262" s="183">
        <v>0.2</v>
      </c>
    </row>
    <row r="263" spans="3:34" x14ac:dyDescent="0.25">
      <c r="C263" s="181">
        <v>2530</v>
      </c>
      <c r="D263" s="183">
        <v>0</v>
      </c>
      <c r="E263" s="185">
        <v>195</v>
      </c>
      <c r="F263" s="181">
        <v>195</v>
      </c>
      <c r="G263" s="185">
        <v>2335</v>
      </c>
      <c r="H263" s="185">
        <v>85.818599999999989</v>
      </c>
      <c r="I263" s="185">
        <v>71.37</v>
      </c>
      <c r="J263" s="185">
        <v>15.011999999999999</v>
      </c>
      <c r="K263" s="181">
        <v>48</v>
      </c>
      <c r="P263" s="186">
        <v>220.20060000000001</v>
      </c>
      <c r="Q263" s="186">
        <v>2114.7993999999999</v>
      </c>
      <c r="R263" s="183">
        <v>0.4</v>
      </c>
      <c r="S263" s="185">
        <v>-279.60000000000002</v>
      </c>
      <c r="T263" s="185">
        <v>566.31975999999997</v>
      </c>
      <c r="U263" s="185">
        <v>210.97994</v>
      </c>
      <c r="V263" s="187">
        <v>579.96975999999995</v>
      </c>
      <c r="X263" s="185">
        <v>2530</v>
      </c>
      <c r="Y263" s="185">
        <v>1580.4997000000001</v>
      </c>
      <c r="Z263" s="183">
        <v>0.62470343873517786</v>
      </c>
      <c r="AA263" s="185">
        <v>172.20060000000001</v>
      </c>
      <c r="AB263" s="185">
        <v>566.31975999999997</v>
      </c>
      <c r="AC263" s="185">
        <v>210.97994</v>
      </c>
      <c r="AD263" s="185">
        <v>2530</v>
      </c>
      <c r="AE263" s="186">
        <v>10</v>
      </c>
      <c r="AF263" s="183">
        <v>0.2</v>
      </c>
      <c r="AG263" s="186">
        <v>20</v>
      </c>
      <c r="AH263" s="183">
        <v>0.2</v>
      </c>
    </row>
    <row r="264" spans="3:34" x14ac:dyDescent="0.25">
      <c r="C264" s="181">
        <v>2540</v>
      </c>
      <c r="D264" s="183">
        <v>0</v>
      </c>
      <c r="E264" s="185">
        <v>195</v>
      </c>
      <c r="F264" s="181">
        <v>195</v>
      </c>
      <c r="G264" s="185">
        <v>2345</v>
      </c>
      <c r="H264" s="185">
        <v>85.818599999999989</v>
      </c>
      <c r="I264" s="185">
        <v>71.37</v>
      </c>
      <c r="J264" s="185">
        <v>15.011999999999999</v>
      </c>
      <c r="K264" s="181">
        <v>48</v>
      </c>
      <c r="P264" s="186">
        <v>220.20060000000001</v>
      </c>
      <c r="Q264" s="186">
        <v>2124.7993999999999</v>
      </c>
      <c r="R264" s="183">
        <v>0.4</v>
      </c>
      <c r="S264" s="185">
        <v>-279.60000000000002</v>
      </c>
      <c r="T264" s="185">
        <v>570.31975999999997</v>
      </c>
      <c r="U264" s="185">
        <v>211.97994</v>
      </c>
      <c r="V264" s="187">
        <v>583.96975999999995</v>
      </c>
      <c r="X264" s="185">
        <v>2540</v>
      </c>
      <c r="Y264" s="185">
        <v>1585.4997000000001</v>
      </c>
      <c r="Z264" s="183">
        <v>0.62421248031496068</v>
      </c>
      <c r="AA264" s="185">
        <v>172.20060000000001</v>
      </c>
      <c r="AB264" s="185">
        <v>570.31975999999997</v>
      </c>
      <c r="AC264" s="185">
        <v>211.97994</v>
      </c>
      <c r="AD264" s="185">
        <v>2540</v>
      </c>
      <c r="AE264" s="186">
        <v>10</v>
      </c>
      <c r="AF264" s="183">
        <v>0.2</v>
      </c>
      <c r="AG264" s="186">
        <v>20</v>
      </c>
      <c r="AH264" s="183">
        <v>0.2</v>
      </c>
    </row>
    <row r="265" spans="3:34" x14ac:dyDescent="0.25">
      <c r="C265" s="181">
        <v>2550</v>
      </c>
      <c r="D265" s="183">
        <v>0</v>
      </c>
      <c r="E265" s="185">
        <v>195</v>
      </c>
      <c r="F265" s="181">
        <v>195</v>
      </c>
      <c r="G265" s="185">
        <v>2355</v>
      </c>
      <c r="H265" s="185">
        <v>85.818599999999989</v>
      </c>
      <c r="I265" s="185">
        <v>71.37</v>
      </c>
      <c r="J265" s="185">
        <v>15.011999999999999</v>
      </c>
      <c r="K265" s="181">
        <v>48</v>
      </c>
      <c r="P265" s="186">
        <v>220.20060000000001</v>
      </c>
      <c r="Q265" s="186">
        <v>2134.7993999999999</v>
      </c>
      <c r="R265" s="183">
        <v>0.4</v>
      </c>
      <c r="S265" s="185">
        <v>-279.60000000000002</v>
      </c>
      <c r="T265" s="185">
        <v>574.31975999999997</v>
      </c>
      <c r="U265" s="185">
        <v>212.97994</v>
      </c>
      <c r="V265" s="187">
        <v>587.96975999999995</v>
      </c>
      <c r="X265" s="185">
        <v>2550</v>
      </c>
      <c r="Y265" s="185">
        <v>1590.4997000000001</v>
      </c>
      <c r="Z265" s="183">
        <v>0.62372537254901961</v>
      </c>
      <c r="AA265" s="185">
        <v>172.20060000000001</v>
      </c>
      <c r="AB265" s="185">
        <v>574.31975999999997</v>
      </c>
      <c r="AC265" s="185">
        <v>212.97994</v>
      </c>
      <c r="AD265" s="185">
        <v>2550</v>
      </c>
      <c r="AE265" s="186">
        <v>10</v>
      </c>
      <c r="AF265" s="183">
        <v>0.2</v>
      </c>
      <c r="AG265" s="186">
        <v>20</v>
      </c>
      <c r="AH265" s="183">
        <v>0.2</v>
      </c>
    </row>
    <row r="266" spans="3:34" x14ac:dyDescent="0.25">
      <c r="C266" s="181">
        <v>2560</v>
      </c>
      <c r="D266" s="183">
        <v>0</v>
      </c>
      <c r="E266" s="185">
        <v>195</v>
      </c>
      <c r="F266" s="181">
        <v>195</v>
      </c>
      <c r="G266" s="185">
        <v>2365</v>
      </c>
      <c r="H266" s="185">
        <v>85.818599999999989</v>
      </c>
      <c r="I266" s="185">
        <v>71.37</v>
      </c>
      <c r="J266" s="185">
        <v>15.011999999999999</v>
      </c>
      <c r="K266" s="181">
        <v>48</v>
      </c>
      <c r="P266" s="186">
        <v>220.20060000000001</v>
      </c>
      <c r="Q266" s="186">
        <v>2144.7993999999999</v>
      </c>
      <c r="R266" s="183">
        <v>0.4</v>
      </c>
      <c r="S266" s="185">
        <v>-279.60000000000002</v>
      </c>
      <c r="T266" s="185">
        <v>578.31975999999997</v>
      </c>
      <c r="U266" s="185">
        <v>213.97994</v>
      </c>
      <c r="V266" s="187">
        <v>591.96975999999995</v>
      </c>
      <c r="X266" s="185">
        <v>2560</v>
      </c>
      <c r="Y266" s="185">
        <v>1595.4997000000001</v>
      </c>
      <c r="Z266" s="183">
        <v>0.62324207031250001</v>
      </c>
      <c r="AA266" s="185">
        <v>172.20060000000001</v>
      </c>
      <c r="AB266" s="185">
        <v>578.31975999999997</v>
      </c>
      <c r="AC266" s="185">
        <v>213.97994</v>
      </c>
      <c r="AD266" s="185">
        <v>2560</v>
      </c>
      <c r="AE266" s="186">
        <v>10</v>
      </c>
      <c r="AF266" s="183">
        <v>0.2</v>
      </c>
      <c r="AG266" s="186">
        <v>20</v>
      </c>
      <c r="AH266" s="183">
        <v>0.2</v>
      </c>
    </row>
    <row r="267" spans="3:34" x14ac:dyDescent="0.25">
      <c r="C267" s="181">
        <v>2570</v>
      </c>
      <c r="D267" s="183">
        <v>0</v>
      </c>
      <c r="E267" s="185">
        <v>195</v>
      </c>
      <c r="F267" s="181">
        <v>195</v>
      </c>
      <c r="G267" s="185">
        <v>2375</v>
      </c>
      <c r="H267" s="185">
        <v>85.818599999999989</v>
      </c>
      <c r="I267" s="185">
        <v>71.37</v>
      </c>
      <c r="J267" s="185">
        <v>15.011999999999999</v>
      </c>
      <c r="K267" s="181">
        <v>48</v>
      </c>
      <c r="P267" s="186">
        <v>220.20060000000001</v>
      </c>
      <c r="Q267" s="186">
        <v>2154.7993999999999</v>
      </c>
      <c r="R267" s="183">
        <v>0.4</v>
      </c>
      <c r="S267" s="185">
        <v>-279.60000000000002</v>
      </c>
      <c r="T267" s="185">
        <v>582.31975999999997</v>
      </c>
      <c r="U267" s="185">
        <v>214.97994</v>
      </c>
      <c r="V267" s="187">
        <v>595.96975999999995</v>
      </c>
      <c r="X267" s="185">
        <v>2570</v>
      </c>
      <c r="Y267" s="185">
        <v>1600.4997000000001</v>
      </c>
      <c r="Z267" s="183">
        <v>0.62276252918287944</v>
      </c>
      <c r="AA267" s="185">
        <v>172.20060000000001</v>
      </c>
      <c r="AB267" s="185">
        <v>582.31975999999997</v>
      </c>
      <c r="AC267" s="185">
        <v>214.97994</v>
      </c>
      <c r="AD267" s="185">
        <v>2570</v>
      </c>
      <c r="AE267" s="186">
        <v>10</v>
      </c>
      <c r="AF267" s="183">
        <v>0.2</v>
      </c>
      <c r="AG267" s="186">
        <v>20</v>
      </c>
      <c r="AH267" s="183">
        <v>0.2</v>
      </c>
    </row>
    <row r="268" spans="3:34" x14ac:dyDescent="0.25">
      <c r="C268" s="181">
        <v>2580</v>
      </c>
      <c r="D268" s="183">
        <v>0</v>
      </c>
      <c r="E268" s="185">
        <v>195</v>
      </c>
      <c r="F268" s="181">
        <v>195</v>
      </c>
      <c r="G268" s="185">
        <v>2385</v>
      </c>
      <c r="H268" s="185">
        <v>85.818599999999989</v>
      </c>
      <c r="I268" s="185">
        <v>71.37</v>
      </c>
      <c r="J268" s="185">
        <v>15.011999999999999</v>
      </c>
      <c r="K268" s="181">
        <v>48</v>
      </c>
      <c r="P268" s="186">
        <v>220.20060000000001</v>
      </c>
      <c r="Q268" s="186">
        <v>2164.7993999999999</v>
      </c>
      <c r="R268" s="183">
        <v>0.4</v>
      </c>
      <c r="S268" s="185">
        <v>-279.60000000000002</v>
      </c>
      <c r="T268" s="185">
        <v>586.31975999999997</v>
      </c>
      <c r="U268" s="185">
        <v>215.97994</v>
      </c>
      <c r="V268" s="187">
        <v>599.96975999999995</v>
      </c>
      <c r="X268" s="185">
        <v>2580</v>
      </c>
      <c r="Y268" s="185">
        <v>1605.4997000000001</v>
      </c>
      <c r="Z268" s="183">
        <v>0.62228670542635667</v>
      </c>
      <c r="AA268" s="185">
        <v>172.20060000000001</v>
      </c>
      <c r="AB268" s="185">
        <v>586.31975999999997</v>
      </c>
      <c r="AC268" s="185">
        <v>215.97994</v>
      </c>
      <c r="AD268" s="185">
        <v>2580</v>
      </c>
      <c r="AE268" s="186">
        <v>10</v>
      </c>
      <c r="AF268" s="183">
        <v>0.2</v>
      </c>
      <c r="AG268" s="186">
        <v>20</v>
      </c>
      <c r="AH268" s="183">
        <v>0.2</v>
      </c>
    </row>
    <row r="269" spans="3:34" x14ac:dyDescent="0.25">
      <c r="C269" s="181">
        <v>2590</v>
      </c>
      <c r="D269" s="183">
        <v>0</v>
      </c>
      <c r="E269" s="185">
        <v>195</v>
      </c>
      <c r="F269" s="181">
        <v>195</v>
      </c>
      <c r="G269" s="185">
        <v>2395</v>
      </c>
      <c r="H269" s="185">
        <v>85.818599999999989</v>
      </c>
      <c r="I269" s="185">
        <v>71.37</v>
      </c>
      <c r="J269" s="185">
        <v>15.011999999999999</v>
      </c>
      <c r="K269" s="181">
        <v>48</v>
      </c>
      <c r="P269" s="186">
        <v>220.20060000000001</v>
      </c>
      <c r="Q269" s="186">
        <v>2174.7993999999999</v>
      </c>
      <c r="R269" s="183">
        <v>0.4</v>
      </c>
      <c r="S269" s="185">
        <v>-279.60000000000002</v>
      </c>
      <c r="T269" s="185">
        <v>590.31975999999997</v>
      </c>
      <c r="U269" s="185">
        <v>216.97994</v>
      </c>
      <c r="V269" s="187">
        <v>603.96975999999995</v>
      </c>
      <c r="X269" s="185">
        <v>2590</v>
      </c>
      <c r="Y269" s="185">
        <v>1610.4997000000001</v>
      </c>
      <c r="Z269" s="183">
        <v>0.62181455598455604</v>
      </c>
      <c r="AA269" s="185">
        <v>172.20060000000001</v>
      </c>
      <c r="AB269" s="185">
        <v>590.31975999999997</v>
      </c>
      <c r="AC269" s="185">
        <v>216.97994</v>
      </c>
      <c r="AD269" s="185">
        <v>2590</v>
      </c>
      <c r="AE269" s="186">
        <v>10</v>
      </c>
      <c r="AF269" s="183">
        <v>0.2</v>
      </c>
      <c r="AG269" s="186">
        <v>20</v>
      </c>
      <c r="AH269" s="183">
        <v>0.2</v>
      </c>
    </row>
    <row r="270" spans="3:34" x14ac:dyDescent="0.25">
      <c r="C270" s="181">
        <v>2600</v>
      </c>
      <c r="D270" s="183">
        <v>0</v>
      </c>
      <c r="E270" s="185">
        <v>195</v>
      </c>
      <c r="F270" s="181">
        <v>195</v>
      </c>
      <c r="G270" s="185">
        <v>2405</v>
      </c>
      <c r="H270" s="185">
        <v>85.818599999999989</v>
      </c>
      <c r="I270" s="185">
        <v>71.37</v>
      </c>
      <c r="J270" s="185">
        <v>15.011999999999999</v>
      </c>
      <c r="K270" s="181">
        <v>32</v>
      </c>
      <c r="P270" s="186">
        <v>204.20060000000001</v>
      </c>
      <c r="Q270" s="186">
        <v>2200.7993999999999</v>
      </c>
      <c r="R270" s="183">
        <v>0.4</v>
      </c>
      <c r="S270" s="185">
        <v>-279.60000000000002</v>
      </c>
      <c r="T270" s="185">
        <v>600.71975999999995</v>
      </c>
      <c r="U270" s="185">
        <v>219.57993999999999</v>
      </c>
      <c r="V270" s="187">
        <v>614.36975999999993</v>
      </c>
      <c r="X270" s="185">
        <v>2600</v>
      </c>
      <c r="Y270" s="185">
        <v>1607.4997000000001</v>
      </c>
      <c r="Z270" s="183">
        <v>0.61826911538461538</v>
      </c>
      <c r="AA270" s="185">
        <v>172.20060000000001</v>
      </c>
      <c r="AB270" s="185">
        <v>600.71975999999995</v>
      </c>
      <c r="AC270" s="185">
        <v>219.57993999999999</v>
      </c>
      <c r="AD270" s="185">
        <v>2600</v>
      </c>
      <c r="AE270" s="186">
        <v>2</v>
      </c>
      <c r="AF270" s="183">
        <v>0.04</v>
      </c>
      <c r="AG270" s="186">
        <v>12</v>
      </c>
      <c r="AH270" s="183">
        <v>0.12</v>
      </c>
    </row>
    <row r="271" spans="3:34" x14ac:dyDescent="0.25">
      <c r="C271" s="181">
        <v>2610</v>
      </c>
      <c r="D271" s="183">
        <v>0</v>
      </c>
      <c r="E271" s="185">
        <v>195</v>
      </c>
      <c r="F271" s="181">
        <v>195</v>
      </c>
      <c r="G271" s="185">
        <v>2415</v>
      </c>
      <c r="H271" s="185">
        <v>85.818599999999989</v>
      </c>
      <c r="I271" s="185">
        <v>71.37</v>
      </c>
      <c r="J271" s="185">
        <v>15.011999999999999</v>
      </c>
      <c r="K271" s="181">
        <v>32</v>
      </c>
      <c r="P271" s="186">
        <v>204.20060000000001</v>
      </c>
      <c r="Q271" s="186">
        <v>2210.7993999999999</v>
      </c>
      <c r="R271" s="183">
        <v>0.4</v>
      </c>
      <c r="S271" s="185">
        <v>-279.60000000000002</v>
      </c>
      <c r="T271" s="185">
        <v>604.71975999999995</v>
      </c>
      <c r="U271" s="185">
        <v>220.57993999999999</v>
      </c>
      <c r="V271" s="187">
        <v>618.36975999999993</v>
      </c>
      <c r="X271" s="185">
        <v>2610</v>
      </c>
      <c r="Y271" s="185">
        <v>1612.4997000000001</v>
      </c>
      <c r="Z271" s="183">
        <v>0.61781597701149427</v>
      </c>
      <c r="AA271" s="185">
        <v>172.20060000000001</v>
      </c>
      <c r="AB271" s="185">
        <v>604.71975999999995</v>
      </c>
      <c r="AC271" s="185">
        <v>220.57993999999999</v>
      </c>
      <c r="AD271" s="185">
        <v>2610</v>
      </c>
      <c r="AE271" s="186">
        <v>2</v>
      </c>
      <c r="AF271" s="183">
        <v>0.04</v>
      </c>
      <c r="AG271" s="186">
        <v>12</v>
      </c>
      <c r="AH271" s="183">
        <v>0.12</v>
      </c>
    </row>
    <row r="272" spans="3:34" x14ac:dyDescent="0.25">
      <c r="C272" s="181">
        <v>2620</v>
      </c>
      <c r="D272" s="183">
        <v>0</v>
      </c>
      <c r="E272" s="185">
        <v>195</v>
      </c>
      <c r="F272" s="181">
        <v>195</v>
      </c>
      <c r="G272" s="185">
        <v>2425</v>
      </c>
      <c r="H272" s="185">
        <v>85.818599999999989</v>
      </c>
      <c r="I272" s="185">
        <v>71.37</v>
      </c>
      <c r="J272" s="185">
        <v>15.011999999999999</v>
      </c>
      <c r="K272" s="181">
        <v>32</v>
      </c>
      <c r="P272" s="186">
        <v>204.20060000000001</v>
      </c>
      <c r="Q272" s="186">
        <v>2220.7993999999999</v>
      </c>
      <c r="R272" s="183">
        <v>0.4</v>
      </c>
      <c r="S272" s="185">
        <v>-279.60000000000002</v>
      </c>
      <c r="T272" s="185">
        <v>608.71975999999995</v>
      </c>
      <c r="U272" s="185">
        <v>221.57993999999999</v>
      </c>
      <c r="V272" s="187">
        <v>622.36975999999993</v>
      </c>
      <c r="X272" s="185">
        <v>2620</v>
      </c>
      <c r="Y272" s="185">
        <v>1617.4997000000001</v>
      </c>
      <c r="Z272" s="183">
        <v>0.61736629770992368</v>
      </c>
      <c r="AA272" s="185">
        <v>172.20060000000001</v>
      </c>
      <c r="AB272" s="185">
        <v>608.71975999999995</v>
      </c>
      <c r="AC272" s="185">
        <v>221.57993999999999</v>
      </c>
      <c r="AD272" s="185">
        <v>2620</v>
      </c>
      <c r="AE272" s="186">
        <v>10</v>
      </c>
      <c r="AF272" s="183">
        <v>0.2</v>
      </c>
      <c r="AG272" s="186">
        <v>12</v>
      </c>
      <c r="AH272" s="183">
        <v>0.12</v>
      </c>
    </row>
    <row r="273" spans="3:34" x14ac:dyDescent="0.25">
      <c r="C273" s="181">
        <v>2630</v>
      </c>
      <c r="D273" s="183">
        <v>0</v>
      </c>
      <c r="E273" s="185">
        <v>195</v>
      </c>
      <c r="F273" s="181">
        <v>195</v>
      </c>
      <c r="G273" s="185">
        <v>2435</v>
      </c>
      <c r="H273" s="185">
        <v>85.818599999999989</v>
      </c>
      <c r="I273" s="185">
        <v>71.37</v>
      </c>
      <c r="J273" s="185">
        <v>15.011999999999999</v>
      </c>
      <c r="K273" s="181">
        <v>32</v>
      </c>
      <c r="P273" s="186">
        <v>204.20060000000001</v>
      </c>
      <c r="Q273" s="186">
        <v>2230.7993999999999</v>
      </c>
      <c r="R273" s="183">
        <v>0.4</v>
      </c>
      <c r="S273" s="185">
        <v>-279.60000000000002</v>
      </c>
      <c r="T273" s="185">
        <v>612.71975999999995</v>
      </c>
      <c r="U273" s="185">
        <v>222.57993999999999</v>
      </c>
      <c r="V273" s="187">
        <v>626.36975999999993</v>
      </c>
      <c r="X273" s="185">
        <v>2630</v>
      </c>
      <c r="Y273" s="185">
        <v>1622.4997000000001</v>
      </c>
      <c r="Z273" s="183">
        <v>0.6169200380228137</v>
      </c>
      <c r="AA273" s="185">
        <v>172.20060000000001</v>
      </c>
      <c r="AB273" s="185">
        <v>612.71975999999995</v>
      </c>
      <c r="AC273" s="185">
        <v>222.57993999999999</v>
      </c>
      <c r="AD273" s="185">
        <v>2630</v>
      </c>
      <c r="AE273" s="186">
        <v>10</v>
      </c>
      <c r="AF273" s="183">
        <v>0.2</v>
      </c>
      <c r="AG273" s="186">
        <v>12</v>
      </c>
      <c r="AH273" s="183">
        <v>0.12</v>
      </c>
    </row>
    <row r="274" spans="3:34" x14ac:dyDescent="0.25">
      <c r="C274" s="181">
        <v>2640</v>
      </c>
      <c r="D274" s="183">
        <v>0</v>
      </c>
      <c r="E274" s="185">
        <v>195</v>
      </c>
      <c r="F274" s="181">
        <v>195</v>
      </c>
      <c r="G274" s="185">
        <v>2445</v>
      </c>
      <c r="H274" s="185">
        <v>85.818599999999989</v>
      </c>
      <c r="I274" s="185">
        <v>71.37</v>
      </c>
      <c r="J274" s="185">
        <v>15.011999999999999</v>
      </c>
      <c r="K274" s="181">
        <v>32</v>
      </c>
      <c r="P274" s="186">
        <v>204.20060000000001</v>
      </c>
      <c r="Q274" s="186">
        <v>2240.7993999999999</v>
      </c>
      <c r="R274" s="183">
        <v>0.4</v>
      </c>
      <c r="S274" s="185">
        <v>-279.60000000000002</v>
      </c>
      <c r="T274" s="185">
        <v>616.71975999999995</v>
      </c>
      <c r="U274" s="185">
        <v>223.57993999999999</v>
      </c>
      <c r="V274" s="187">
        <v>630.36975999999993</v>
      </c>
      <c r="X274" s="185">
        <v>2640</v>
      </c>
      <c r="Y274" s="185">
        <v>1627.4997000000001</v>
      </c>
      <c r="Z274" s="183">
        <v>0.61647715909090917</v>
      </c>
      <c r="AA274" s="185">
        <v>172.20060000000001</v>
      </c>
      <c r="AB274" s="185">
        <v>616.71975999999995</v>
      </c>
      <c r="AC274" s="185">
        <v>223.57993999999999</v>
      </c>
      <c r="AD274" s="185">
        <v>2640</v>
      </c>
      <c r="AE274" s="186">
        <v>10</v>
      </c>
      <c r="AF274" s="183">
        <v>0.2</v>
      </c>
      <c r="AG274" s="186">
        <v>20</v>
      </c>
      <c r="AH274" s="183">
        <v>0.2</v>
      </c>
    </row>
    <row r="275" spans="3:34" x14ac:dyDescent="0.25">
      <c r="C275" s="181">
        <v>2650</v>
      </c>
      <c r="D275" s="183">
        <v>0</v>
      </c>
      <c r="E275" s="185">
        <v>195</v>
      </c>
      <c r="F275" s="181">
        <v>195</v>
      </c>
      <c r="G275" s="185">
        <v>2455</v>
      </c>
      <c r="H275" s="185">
        <v>85.818599999999989</v>
      </c>
      <c r="I275" s="185">
        <v>71.37</v>
      </c>
      <c r="J275" s="185">
        <v>15.011999999999999</v>
      </c>
      <c r="K275" s="181">
        <v>16</v>
      </c>
      <c r="P275" s="186">
        <v>188.20060000000001</v>
      </c>
      <c r="Q275" s="186">
        <v>2266.7993999999999</v>
      </c>
      <c r="R275" s="183">
        <v>0.4</v>
      </c>
      <c r="S275" s="185">
        <v>-279.60000000000002</v>
      </c>
      <c r="T275" s="185">
        <v>627.11975999999993</v>
      </c>
      <c r="U275" s="185">
        <v>226.17993999999999</v>
      </c>
      <c r="V275" s="187">
        <v>640.76975999999991</v>
      </c>
      <c r="X275" s="185">
        <v>2650</v>
      </c>
      <c r="Y275" s="185">
        <v>1624.4997000000001</v>
      </c>
      <c r="Z275" s="183">
        <v>0.6130187547169812</v>
      </c>
      <c r="AA275" s="185">
        <v>172.20060000000001</v>
      </c>
      <c r="AB275" s="185">
        <v>627.11975999999993</v>
      </c>
      <c r="AC275" s="185">
        <v>226.17993999999999</v>
      </c>
      <c r="AD275" s="185">
        <v>2650</v>
      </c>
      <c r="AE275" s="186">
        <v>2</v>
      </c>
      <c r="AF275" s="183">
        <v>0.04</v>
      </c>
      <c r="AG275" s="186">
        <v>12</v>
      </c>
      <c r="AH275" s="183">
        <v>0.12</v>
      </c>
    </row>
    <row r="276" spans="3:34" x14ac:dyDescent="0.25">
      <c r="C276" s="181">
        <v>2660</v>
      </c>
      <c r="D276" s="183">
        <v>0</v>
      </c>
      <c r="E276" s="185">
        <v>195</v>
      </c>
      <c r="F276" s="181">
        <v>195</v>
      </c>
      <c r="G276" s="185">
        <v>2465</v>
      </c>
      <c r="H276" s="185">
        <v>85.818599999999989</v>
      </c>
      <c r="I276" s="185">
        <v>71.37</v>
      </c>
      <c r="J276" s="185">
        <v>15.011999999999999</v>
      </c>
      <c r="K276" s="181">
        <v>16</v>
      </c>
      <c r="P276" s="186">
        <v>188.20060000000001</v>
      </c>
      <c r="Q276" s="186">
        <v>2276.7993999999999</v>
      </c>
      <c r="R276" s="183">
        <v>0.4</v>
      </c>
      <c r="S276" s="185">
        <v>-279.60000000000002</v>
      </c>
      <c r="T276" s="185">
        <v>631.11975999999993</v>
      </c>
      <c r="U276" s="185">
        <v>227.17993999999999</v>
      </c>
      <c r="V276" s="187">
        <v>644.76975999999991</v>
      </c>
      <c r="X276" s="185">
        <v>2660</v>
      </c>
      <c r="Y276" s="185">
        <v>1629.4997000000001</v>
      </c>
      <c r="Z276" s="183">
        <v>0.61259387218045114</v>
      </c>
      <c r="AA276" s="185">
        <v>172.20060000000001</v>
      </c>
      <c r="AB276" s="185">
        <v>631.11975999999993</v>
      </c>
      <c r="AC276" s="185">
        <v>227.17993999999999</v>
      </c>
      <c r="AD276" s="185">
        <v>2660</v>
      </c>
      <c r="AE276" s="186">
        <v>2</v>
      </c>
      <c r="AF276" s="183">
        <v>0.04</v>
      </c>
      <c r="AG276" s="186">
        <v>12</v>
      </c>
      <c r="AH276" s="183">
        <v>0.12</v>
      </c>
    </row>
    <row r="277" spans="3:34" x14ac:dyDescent="0.25">
      <c r="C277" s="181">
        <v>2670</v>
      </c>
      <c r="D277" s="183">
        <v>0</v>
      </c>
      <c r="E277" s="185">
        <v>195</v>
      </c>
      <c r="F277" s="181">
        <v>195</v>
      </c>
      <c r="G277" s="185">
        <v>2475</v>
      </c>
      <c r="H277" s="185">
        <v>85.818599999999989</v>
      </c>
      <c r="I277" s="185">
        <v>71.37</v>
      </c>
      <c r="J277" s="185">
        <v>15.011999999999999</v>
      </c>
      <c r="K277" s="181">
        <v>16</v>
      </c>
      <c r="P277" s="186">
        <v>188.20060000000001</v>
      </c>
      <c r="Q277" s="186">
        <v>2286.7993999999999</v>
      </c>
      <c r="R277" s="183">
        <v>0.4</v>
      </c>
      <c r="S277" s="185">
        <v>-279.60000000000002</v>
      </c>
      <c r="T277" s="185">
        <v>635.11975999999993</v>
      </c>
      <c r="U277" s="185">
        <v>228.17993999999999</v>
      </c>
      <c r="V277" s="187">
        <v>648.76975999999991</v>
      </c>
      <c r="X277" s="185">
        <v>2670</v>
      </c>
      <c r="Y277" s="185">
        <v>1634.4997000000001</v>
      </c>
      <c r="Z277" s="183">
        <v>0.61217217228464427</v>
      </c>
      <c r="AA277" s="185">
        <v>172.20060000000001</v>
      </c>
      <c r="AB277" s="185">
        <v>635.11975999999993</v>
      </c>
      <c r="AC277" s="185">
        <v>228.17993999999999</v>
      </c>
      <c r="AD277" s="185">
        <v>2670</v>
      </c>
      <c r="AE277" s="186">
        <v>10</v>
      </c>
      <c r="AF277" s="183">
        <v>0.2</v>
      </c>
      <c r="AG277" s="186">
        <v>12</v>
      </c>
      <c r="AH277" s="183">
        <v>0.12</v>
      </c>
    </row>
    <row r="278" spans="3:34" x14ac:dyDescent="0.25">
      <c r="C278" s="181">
        <v>2680</v>
      </c>
      <c r="D278" s="183">
        <v>0</v>
      </c>
      <c r="E278" s="185">
        <v>195</v>
      </c>
      <c r="F278" s="181">
        <v>195</v>
      </c>
      <c r="G278" s="185">
        <v>2485</v>
      </c>
      <c r="H278" s="185">
        <v>85.818599999999989</v>
      </c>
      <c r="I278" s="185">
        <v>71.37</v>
      </c>
      <c r="J278" s="185">
        <v>15.011999999999999</v>
      </c>
      <c r="K278" s="181">
        <v>16</v>
      </c>
      <c r="P278" s="186">
        <v>188.20060000000001</v>
      </c>
      <c r="Q278" s="186">
        <v>2296.7993999999999</v>
      </c>
      <c r="R278" s="183">
        <v>0.4</v>
      </c>
      <c r="S278" s="185">
        <v>-279.60000000000002</v>
      </c>
      <c r="T278" s="185">
        <v>639.11975999999993</v>
      </c>
      <c r="U278" s="185">
        <v>229.17993999999999</v>
      </c>
      <c r="V278" s="187">
        <v>652.76975999999991</v>
      </c>
      <c r="X278" s="185">
        <v>2680</v>
      </c>
      <c r="Y278" s="185">
        <v>1639.4997000000001</v>
      </c>
      <c r="Z278" s="183">
        <v>0.61175361940298512</v>
      </c>
      <c r="AA278" s="185">
        <v>172.20060000000001</v>
      </c>
      <c r="AB278" s="185">
        <v>639.11975999999993</v>
      </c>
      <c r="AC278" s="185">
        <v>229.17993999999999</v>
      </c>
      <c r="AD278" s="185">
        <v>2680</v>
      </c>
      <c r="AE278" s="186">
        <v>10</v>
      </c>
      <c r="AF278" s="183">
        <v>0.2</v>
      </c>
      <c r="AG278" s="186">
        <v>12</v>
      </c>
      <c r="AH278" s="183">
        <v>0.12</v>
      </c>
    </row>
    <row r="279" spans="3:34" x14ac:dyDescent="0.25">
      <c r="C279" s="181">
        <v>2690</v>
      </c>
      <c r="D279" s="183">
        <v>0</v>
      </c>
      <c r="E279" s="185">
        <v>195</v>
      </c>
      <c r="F279" s="181">
        <v>195</v>
      </c>
      <c r="G279" s="185">
        <v>2495</v>
      </c>
      <c r="H279" s="185">
        <v>85.818599999999989</v>
      </c>
      <c r="I279" s="185">
        <v>71.37</v>
      </c>
      <c r="J279" s="185">
        <v>15.011999999999999</v>
      </c>
      <c r="K279" s="181">
        <v>16</v>
      </c>
      <c r="P279" s="186">
        <v>188.20060000000001</v>
      </c>
      <c r="Q279" s="186">
        <v>2306.7993999999999</v>
      </c>
      <c r="R279" s="183">
        <v>0.4</v>
      </c>
      <c r="S279" s="185">
        <v>-279.60000000000002</v>
      </c>
      <c r="T279" s="185">
        <v>643.11975999999993</v>
      </c>
      <c r="U279" s="185">
        <v>230.17993999999999</v>
      </c>
      <c r="V279" s="187">
        <v>656.76975999999991</v>
      </c>
      <c r="X279" s="185">
        <v>2690</v>
      </c>
      <c r="Y279" s="185">
        <v>1644.4997000000001</v>
      </c>
      <c r="Z279" s="183">
        <v>0.61133817843866178</v>
      </c>
      <c r="AA279" s="185">
        <v>172.20060000000001</v>
      </c>
      <c r="AB279" s="185">
        <v>643.11975999999993</v>
      </c>
      <c r="AC279" s="185">
        <v>230.17993999999999</v>
      </c>
      <c r="AD279" s="185">
        <v>2690</v>
      </c>
      <c r="AE279" s="186">
        <v>10</v>
      </c>
      <c r="AF279" s="183">
        <v>0.2</v>
      </c>
      <c r="AG279" s="186">
        <v>20</v>
      </c>
      <c r="AH279" s="183">
        <v>0.2</v>
      </c>
    </row>
    <row r="280" spans="3:34" x14ac:dyDescent="0.25">
      <c r="C280" s="181">
        <v>2700</v>
      </c>
      <c r="D280" s="183">
        <v>0</v>
      </c>
      <c r="E280" s="185">
        <v>195</v>
      </c>
      <c r="F280" s="181">
        <v>195</v>
      </c>
      <c r="G280" s="185">
        <v>2505</v>
      </c>
      <c r="H280" s="185">
        <v>85.818599999999989</v>
      </c>
      <c r="I280" s="185">
        <v>71.37</v>
      </c>
      <c r="J280" s="185">
        <v>15.011999999999999</v>
      </c>
      <c r="K280" s="181">
        <v>0</v>
      </c>
      <c r="P280" s="186">
        <v>172.20060000000001</v>
      </c>
      <c r="Q280" s="186">
        <v>2332.7993999999999</v>
      </c>
      <c r="R280" s="183">
        <v>0.4</v>
      </c>
      <c r="S280" s="185">
        <v>-279.60000000000002</v>
      </c>
      <c r="T280" s="185">
        <v>653.51976000000002</v>
      </c>
      <c r="U280" s="185">
        <v>232.77994000000001</v>
      </c>
      <c r="V280" s="187">
        <v>667.16976</v>
      </c>
      <c r="X280" s="185">
        <v>2700</v>
      </c>
      <c r="Y280" s="185">
        <v>1641.4996999999998</v>
      </c>
      <c r="Z280" s="183">
        <v>0.60796285185185184</v>
      </c>
      <c r="AA280" s="185">
        <v>172.20060000000001</v>
      </c>
      <c r="AB280" s="185">
        <v>653.51976000000002</v>
      </c>
      <c r="AC280" s="185">
        <v>232.77994000000001</v>
      </c>
      <c r="AD280" s="185">
        <v>2700</v>
      </c>
      <c r="AE280" s="186">
        <v>1.9999999999997726</v>
      </c>
      <c r="AF280" s="183">
        <v>3.9999999999995456E-2</v>
      </c>
      <c r="AG280" s="186">
        <v>11.999999999999773</v>
      </c>
      <c r="AH280" s="183">
        <v>0.11999999999999772</v>
      </c>
    </row>
    <row r="281" spans="3:34" x14ac:dyDescent="0.25">
      <c r="C281" s="181">
        <v>2710</v>
      </c>
      <c r="D281" s="183">
        <v>0</v>
      </c>
      <c r="E281" s="185">
        <v>195</v>
      </c>
      <c r="F281" s="181">
        <v>195</v>
      </c>
      <c r="G281" s="185">
        <v>2515</v>
      </c>
      <c r="H281" s="185">
        <v>85.818599999999989</v>
      </c>
      <c r="I281" s="185">
        <v>71.37</v>
      </c>
      <c r="J281" s="185">
        <v>15.011999999999999</v>
      </c>
      <c r="K281" s="181">
        <v>0</v>
      </c>
      <c r="P281" s="186">
        <v>172.20060000000001</v>
      </c>
      <c r="Q281" s="186">
        <v>2342.7993999999999</v>
      </c>
      <c r="R281" s="183">
        <v>0.4</v>
      </c>
      <c r="S281" s="185">
        <v>-279.60000000000002</v>
      </c>
      <c r="T281" s="185">
        <v>657.51976000000002</v>
      </c>
      <c r="U281" s="185">
        <v>233.77994000000001</v>
      </c>
      <c r="V281" s="187">
        <v>671.16976</v>
      </c>
      <c r="X281" s="185">
        <v>2710</v>
      </c>
      <c r="Y281" s="185">
        <v>1646.4996999999998</v>
      </c>
      <c r="Z281" s="183">
        <v>0.60756446494464944</v>
      </c>
      <c r="AA281" s="185">
        <v>172.20060000000001</v>
      </c>
      <c r="AB281" s="185">
        <v>657.51976000000002</v>
      </c>
      <c r="AC281" s="185">
        <v>233.77994000000001</v>
      </c>
      <c r="AD281" s="185">
        <v>2710</v>
      </c>
      <c r="AE281" s="186">
        <v>1.9999999999997726</v>
      </c>
      <c r="AF281" s="183">
        <v>3.9999999999995456E-2</v>
      </c>
      <c r="AG281" s="186">
        <v>11.999999999999773</v>
      </c>
      <c r="AH281" s="183">
        <v>0.11999999999999772</v>
      </c>
    </row>
    <row r="282" spans="3:34" x14ac:dyDescent="0.25">
      <c r="C282" s="181">
        <v>2720</v>
      </c>
      <c r="D282" s="183">
        <v>0</v>
      </c>
      <c r="E282" s="185">
        <v>195</v>
      </c>
      <c r="F282" s="181">
        <v>195</v>
      </c>
      <c r="G282" s="185">
        <v>2525</v>
      </c>
      <c r="H282" s="185">
        <v>85.818599999999989</v>
      </c>
      <c r="I282" s="185">
        <v>71.37</v>
      </c>
      <c r="J282" s="185">
        <v>15.011999999999999</v>
      </c>
      <c r="K282" s="181">
        <v>0</v>
      </c>
      <c r="P282" s="186">
        <v>172.20060000000001</v>
      </c>
      <c r="Q282" s="186">
        <v>2352.7993999999999</v>
      </c>
      <c r="R282" s="183">
        <v>0.4</v>
      </c>
      <c r="S282" s="185">
        <v>-279.60000000000002</v>
      </c>
      <c r="T282" s="185">
        <v>661.51976000000002</v>
      </c>
      <c r="U282" s="185">
        <v>234.77994000000001</v>
      </c>
      <c r="V282" s="187">
        <v>675.16976</v>
      </c>
      <c r="X282" s="185">
        <v>2720</v>
      </c>
      <c r="Y282" s="185">
        <v>1651.4996999999998</v>
      </c>
      <c r="Z282" s="183">
        <v>0.6071690073529411</v>
      </c>
      <c r="AA282" s="185">
        <v>172.20060000000001</v>
      </c>
      <c r="AB282" s="185">
        <v>661.51976000000002</v>
      </c>
      <c r="AC282" s="185">
        <v>234.77994000000001</v>
      </c>
      <c r="AD282" s="185">
        <v>2720</v>
      </c>
      <c r="AE282" s="186">
        <v>10</v>
      </c>
      <c r="AF282" s="183">
        <v>0.2</v>
      </c>
      <c r="AG282" s="186">
        <v>11.999999999999773</v>
      </c>
      <c r="AH282" s="183">
        <v>0.11999999999999772</v>
      </c>
    </row>
    <row r="283" spans="3:34" x14ac:dyDescent="0.25">
      <c r="C283" s="181">
        <v>2730</v>
      </c>
      <c r="D283" s="183">
        <v>0</v>
      </c>
      <c r="E283" s="185">
        <v>195</v>
      </c>
      <c r="F283" s="181">
        <v>195</v>
      </c>
      <c r="G283" s="185">
        <v>2535</v>
      </c>
      <c r="H283" s="185">
        <v>85.818599999999989</v>
      </c>
      <c r="I283" s="185">
        <v>71.37</v>
      </c>
      <c r="J283" s="185">
        <v>15.011999999999999</v>
      </c>
      <c r="K283" s="181">
        <v>0</v>
      </c>
      <c r="P283" s="186">
        <v>172.20060000000001</v>
      </c>
      <c r="Q283" s="186">
        <v>2362.7993999999999</v>
      </c>
      <c r="R283" s="183">
        <v>0.4</v>
      </c>
      <c r="S283" s="185">
        <v>-279.60000000000002</v>
      </c>
      <c r="T283" s="185">
        <v>665.51976000000002</v>
      </c>
      <c r="U283" s="185">
        <v>235.77994000000001</v>
      </c>
      <c r="V283" s="187">
        <v>679.16976</v>
      </c>
      <c r="X283" s="185">
        <v>2730</v>
      </c>
      <c r="Y283" s="185">
        <v>1656.4996999999998</v>
      </c>
      <c r="Z283" s="183">
        <v>0.60677644688644683</v>
      </c>
      <c r="AA283" s="185">
        <v>172.20060000000001</v>
      </c>
      <c r="AB283" s="185">
        <v>665.51976000000002</v>
      </c>
      <c r="AC283" s="185">
        <v>235.77994000000001</v>
      </c>
      <c r="AD283" s="185">
        <v>2730</v>
      </c>
      <c r="AE283" s="186">
        <v>10</v>
      </c>
      <c r="AF283" s="183">
        <v>0.2</v>
      </c>
      <c r="AG283" s="186">
        <v>11.999999999999773</v>
      </c>
      <c r="AH283" s="183">
        <v>0.11999999999999772</v>
      </c>
    </row>
    <row r="284" spans="3:34" x14ac:dyDescent="0.25">
      <c r="C284" s="181">
        <v>2740</v>
      </c>
      <c r="D284" s="183">
        <v>0</v>
      </c>
      <c r="E284" s="185">
        <v>195</v>
      </c>
      <c r="F284" s="181">
        <v>195</v>
      </c>
      <c r="G284" s="185">
        <v>2545</v>
      </c>
      <c r="H284" s="185">
        <v>85.818599999999989</v>
      </c>
      <c r="I284" s="185">
        <v>71.37</v>
      </c>
      <c r="J284" s="185">
        <v>15.011999999999999</v>
      </c>
      <c r="K284" s="181">
        <v>0</v>
      </c>
      <c r="P284" s="186">
        <v>172.20060000000001</v>
      </c>
      <c r="Q284" s="186">
        <v>2372.7993999999999</v>
      </c>
      <c r="R284" s="183">
        <v>0.4</v>
      </c>
      <c r="S284" s="185">
        <v>-279.60000000000002</v>
      </c>
      <c r="T284" s="185">
        <v>669.51976000000002</v>
      </c>
      <c r="U284" s="185">
        <v>236.77994000000001</v>
      </c>
      <c r="V284" s="187">
        <v>683.16976</v>
      </c>
      <c r="X284" s="185">
        <v>2740</v>
      </c>
      <c r="Y284" s="185">
        <v>1661.4996999999998</v>
      </c>
      <c r="Z284" s="183">
        <v>0.60638675182481749</v>
      </c>
      <c r="AA284" s="185">
        <v>172.20060000000001</v>
      </c>
      <c r="AB284" s="185">
        <v>669.51976000000002</v>
      </c>
      <c r="AC284" s="185">
        <v>236.77994000000001</v>
      </c>
      <c r="AD284" s="185">
        <v>2740</v>
      </c>
      <c r="AE284" s="186">
        <v>10</v>
      </c>
      <c r="AF284" s="183">
        <v>0.2</v>
      </c>
      <c r="AG284" s="186">
        <v>20</v>
      </c>
      <c r="AH284" s="183">
        <v>0.2</v>
      </c>
    </row>
    <row r="285" spans="3:34" x14ac:dyDescent="0.25">
      <c r="C285" s="181">
        <v>2750</v>
      </c>
      <c r="D285" s="183">
        <v>0</v>
      </c>
      <c r="E285" s="185">
        <v>195</v>
      </c>
      <c r="F285" s="181">
        <v>195</v>
      </c>
      <c r="G285" s="185">
        <v>2555</v>
      </c>
      <c r="H285" s="185">
        <v>85.818599999999989</v>
      </c>
      <c r="I285" s="185">
        <v>71.37</v>
      </c>
      <c r="J285" s="185">
        <v>15.011999999999999</v>
      </c>
      <c r="K285" s="181">
        <v>0</v>
      </c>
      <c r="P285" s="186">
        <v>172.20060000000001</v>
      </c>
      <c r="Q285" s="186">
        <v>2382.7993999999999</v>
      </c>
      <c r="R285" s="183">
        <v>0.4</v>
      </c>
      <c r="S285" s="185">
        <v>-279.60000000000002</v>
      </c>
      <c r="T285" s="185">
        <v>673.51976000000002</v>
      </c>
      <c r="U285" s="185">
        <v>237.77994000000001</v>
      </c>
      <c r="V285" s="187">
        <v>687.16976</v>
      </c>
      <c r="X285" s="185">
        <v>2750</v>
      </c>
      <c r="Y285" s="185">
        <v>1666.4996999999998</v>
      </c>
      <c r="Z285" s="183">
        <v>0.6059998909090909</v>
      </c>
      <c r="AA285" s="185">
        <v>172.20060000000001</v>
      </c>
      <c r="AB285" s="185">
        <v>673.51976000000002</v>
      </c>
      <c r="AC285" s="185">
        <v>237.77994000000001</v>
      </c>
      <c r="AD285" s="185">
        <v>2750</v>
      </c>
      <c r="AE285" s="186">
        <v>10</v>
      </c>
      <c r="AF285" s="183">
        <v>0.2</v>
      </c>
      <c r="AG285" s="186">
        <v>20</v>
      </c>
      <c r="AH285" s="183">
        <v>0.2</v>
      </c>
    </row>
    <row r="286" spans="3:34" x14ac:dyDescent="0.25">
      <c r="C286" s="181">
        <v>2760</v>
      </c>
      <c r="D286" s="183">
        <v>0</v>
      </c>
      <c r="E286" s="185">
        <v>195</v>
      </c>
      <c r="F286" s="181">
        <v>195</v>
      </c>
      <c r="G286" s="185">
        <v>2565</v>
      </c>
      <c r="H286" s="185">
        <v>85.818599999999989</v>
      </c>
      <c r="I286" s="185">
        <v>71.37</v>
      </c>
      <c r="J286" s="185">
        <v>15.011999999999999</v>
      </c>
      <c r="K286" s="181">
        <v>0</v>
      </c>
      <c r="P286" s="186">
        <v>172.20060000000001</v>
      </c>
      <c r="Q286" s="186">
        <v>2392.7993999999999</v>
      </c>
      <c r="R286" s="183">
        <v>0.4</v>
      </c>
      <c r="S286" s="185">
        <v>-279.60000000000002</v>
      </c>
      <c r="T286" s="185">
        <v>677.51976000000002</v>
      </c>
      <c r="U286" s="185">
        <v>238.77994000000001</v>
      </c>
      <c r="V286" s="187">
        <v>691.16976</v>
      </c>
      <c r="X286" s="185">
        <v>2760</v>
      </c>
      <c r="Y286" s="185">
        <v>1671.4996999999998</v>
      </c>
      <c r="Z286" s="183">
        <v>0.60561583333333324</v>
      </c>
      <c r="AA286" s="185">
        <v>172.20060000000001</v>
      </c>
      <c r="AB286" s="185">
        <v>677.51976000000002</v>
      </c>
      <c r="AC286" s="185">
        <v>238.77994000000001</v>
      </c>
      <c r="AD286" s="185">
        <v>2760</v>
      </c>
      <c r="AE286" s="186">
        <v>10</v>
      </c>
      <c r="AF286" s="183">
        <v>0.2</v>
      </c>
      <c r="AG286" s="186">
        <v>20</v>
      </c>
      <c r="AH286" s="183">
        <v>0.2</v>
      </c>
    </row>
    <row r="287" spans="3:34" x14ac:dyDescent="0.25">
      <c r="C287" s="181">
        <v>2770</v>
      </c>
      <c r="D287" s="183">
        <v>0</v>
      </c>
      <c r="E287" s="185">
        <v>195</v>
      </c>
      <c r="F287" s="181">
        <v>195</v>
      </c>
      <c r="G287" s="185">
        <v>2575</v>
      </c>
      <c r="H287" s="185">
        <v>85.818599999999989</v>
      </c>
      <c r="I287" s="185">
        <v>71.37</v>
      </c>
      <c r="J287" s="185">
        <v>15.011999999999999</v>
      </c>
      <c r="K287" s="181">
        <v>0</v>
      </c>
      <c r="P287" s="186">
        <v>172.20060000000001</v>
      </c>
      <c r="Q287" s="186">
        <v>2402.7993999999999</v>
      </c>
      <c r="R287" s="183">
        <v>0.4</v>
      </c>
      <c r="S287" s="185">
        <v>-279.60000000000002</v>
      </c>
      <c r="T287" s="185">
        <v>681.51976000000002</v>
      </c>
      <c r="U287" s="185">
        <v>239.77994000000001</v>
      </c>
      <c r="V287" s="187">
        <v>695.16976</v>
      </c>
      <c r="X287" s="185">
        <v>2770</v>
      </c>
      <c r="Y287" s="185">
        <v>1676.4996999999998</v>
      </c>
      <c r="Z287" s="183">
        <v>0.60523454873646199</v>
      </c>
      <c r="AA287" s="185">
        <v>172.20060000000001</v>
      </c>
      <c r="AB287" s="185">
        <v>681.51976000000002</v>
      </c>
      <c r="AC287" s="185">
        <v>239.77994000000001</v>
      </c>
      <c r="AD287" s="185">
        <v>2770</v>
      </c>
      <c r="AE287" s="186">
        <v>10</v>
      </c>
      <c r="AF287" s="183">
        <v>0.2</v>
      </c>
      <c r="AG287" s="186">
        <v>20</v>
      </c>
      <c r="AH287" s="183">
        <v>0.2</v>
      </c>
    </row>
    <row r="288" spans="3:34" x14ac:dyDescent="0.25">
      <c r="C288" s="181">
        <v>2780</v>
      </c>
      <c r="D288" s="183">
        <v>0</v>
      </c>
      <c r="E288" s="185">
        <v>195</v>
      </c>
      <c r="F288" s="181">
        <v>195</v>
      </c>
      <c r="G288" s="185">
        <v>2585</v>
      </c>
      <c r="H288" s="185">
        <v>85.818599999999989</v>
      </c>
      <c r="I288" s="185">
        <v>71.37</v>
      </c>
      <c r="J288" s="185">
        <v>15.011999999999999</v>
      </c>
      <c r="K288" s="181">
        <v>0</v>
      </c>
      <c r="P288" s="186">
        <v>172.20060000000001</v>
      </c>
      <c r="Q288" s="186">
        <v>2412.7993999999999</v>
      </c>
      <c r="R288" s="183">
        <v>0.4</v>
      </c>
      <c r="S288" s="185">
        <v>-279.60000000000002</v>
      </c>
      <c r="T288" s="185">
        <v>685.51976000000002</v>
      </c>
      <c r="U288" s="185">
        <v>240.77994000000001</v>
      </c>
      <c r="V288" s="187">
        <v>699.16976</v>
      </c>
      <c r="X288" s="185">
        <v>2780</v>
      </c>
      <c r="Y288" s="185">
        <v>1681.4996999999998</v>
      </c>
      <c r="Z288" s="183">
        <v>0.60485600719424459</v>
      </c>
      <c r="AA288" s="185">
        <v>172.20060000000001</v>
      </c>
      <c r="AB288" s="185">
        <v>685.51976000000002</v>
      </c>
      <c r="AC288" s="185">
        <v>240.77994000000001</v>
      </c>
      <c r="AD288" s="185">
        <v>2780</v>
      </c>
      <c r="AE288" s="186">
        <v>10</v>
      </c>
      <c r="AF288" s="183">
        <v>0.2</v>
      </c>
      <c r="AG288" s="186">
        <v>20</v>
      </c>
      <c r="AH288" s="183">
        <v>0.2</v>
      </c>
    </row>
    <row r="289" spans="3:34" x14ac:dyDescent="0.25">
      <c r="C289" s="181">
        <v>2790</v>
      </c>
      <c r="D289" s="183">
        <v>0</v>
      </c>
      <c r="E289" s="185">
        <v>195</v>
      </c>
      <c r="F289" s="181">
        <v>195</v>
      </c>
      <c r="G289" s="185">
        <v>2595</v>
      </c>
      <c r="H289" s="185">
        <v>85.818599999999989</v>
      </c>
      <c r="I289" s="185">
        <v>71.37</v>
      </c>
      <c r="J289" s="185">
        <v>15.011999999999999</v>
      </c>
      <c r="K289" s="181">
        <v>0</v>
      </c>
      <c r="P289" s="186">
        <v>172.20060000000001</v>
      </c>
      <c r="Q289" s="186">
        <v>2422.7993999999999</v>
      </c>
      <c r="R289" s="183">
        <v>0.4</v>
      </c>
      <c r="S289" s="185">
        <v>-279.60000000000002</v>
      </c>
      <c r="T289" s="185">
        <v>689.51976000000002</v>
      </c>
      <c r="U289" s="185">
        <v>241.77994000000001</v>
      </c>
      <c r="V289" s="187">
        <v>703.16976</v>
      </c>
      <c r="X289" s="185">
        <v>2790</v>
      </c>
      <c r="Y289" s="185">
        <v>1686.4996999999998</v>
      </c>
      <c r="Z289" s="183">
        <v>0.60448017921146946</v>
      </c>
      <c r="AA289" s="185">
        <v>172.20060000000001</v>
      </c>
      <c r="AB289" s="185">
        <v>689.51976000000002</v>
      </c>
      <c r="AC289" s="185">
        <v>241.77994000000001</v>
      </c>
      <c r="AD289" s="185">
        <v>2790</v>
      </c>
      <c r="AE289" s="186">
        <v>10</v>
      </c>
      <c r="AF289" s="183">
        <v>0.2</v>
      </c>
      <c r="AG289" s="186">
        <v>20</v>
      </c>
      <c r="AH289" s="183">
        <v>0.2</v>
      </c>
    </row>
    <row r="290" spans="3:34" x14ac:dyDescent="0.25">
      <c r="C290" s="181">
        <v>2800</v>
      </c>
      <c r="D290" s="183">
        <v>0</v>
      </c>
      <c r="E290" s="185">
        <v>195</v>
      </c>
      <c r="F290" s="181">
        <v>195</v>
      </c>
      <c r="G290" s="185">
        <v>2605</v>
      </c>
      <c r="H290" s="185">
        <v>85.818599999999989</v>
      </c>
      <c r="I290" s="185">
        <v>71.37</v>
      </c>
      <c r="J290" s="185">
        <v>15.011999999999999</v>
      </c>
      <c r="K290" s="181">
        <v>0</v>
      </c>
      <c r="P290" s="186">
        <v>172.20060000000001</v>
      </c>
      <c r="Q290" s="186">
        <v>2432.7993999999999</v>
      </c>
      <c r="R290" s="183">
        <v>0.4</v>
      </c>
      <c r="S290" s="185">
        <v>-279.60000000000002</v>
      </c>
      <c r="T290" s="185">
        <v>693.51976000000002</v>
      </c>
      <c r="U290" s="185">
        <v>242.77994000000001</v>
      </c>
      <c r="V290" s="187">
        <v>707.16976</v>
      </c>
      <c r="X290" s="185">
        <v>2800</v>
      </c>
      <c r="Y290" s="185">
        <v>1691.4996999999998</v>
      </c>
      <c r="Z290" s="183">
        <v>0.6041070357142857</v>
      </c>
      <c r="AA290" s="185">
        <v>172.20060000000001</v>
      </c>
      <c r="AB290" s="185">
        <v>693.51976000000002</v>
      </c>
      <c r="AC290" s="185">
        <v>242.77994000000001</v>
      </c>
      <c r="AD290" s="185">
        <v>2800</v>
      </c>
      <c r="AE290" s="186">
        <v>10</v>
      </c>
      <c r="AF290" s="183">
        <v>0.2</v>
      </c>
      <c r="AG290" s="186">
        <v>20</v>
      </c>
      <c r="AH290" s="183">
        <v>0.2</v>
      </c>
    </row>
    <row r="291" spans="3:34" x14ac:dyDescent="0.25">
      <c r="C291" s="181">
        <v>2810</v>
      </c>
      <c r="D291" s="183">
        <v>0</v>
      </c>
      <c r="E291" s="185">
        <v>195</v>
      </c>
      <c r="F291" s="181">
        <v>195</v>
      </c>
      <c r="G291" s="185">
        <v>2615</v>
      </c>
      <c r="H291" s="185">
        <v>85.818599999999989</v>
      </c>
      <c r="I291" s="185">
        <v>71.37</v>
      </c>
      <c r="J291" s="185">
        <v>15.011999999999999</v>
      </c>
      <c r="K291" s="181">
        <v>0</v>
      </c>
      <c r="P291" s="186">
        <v>172.20060000000001</v>
      </c>
      <c r="Q291" s="186">
        <v>2442.7993999999999</v>
      </c>
      <c r="R291" s="183">
        <v>0.4</v>
      </c>
      <c r="S291" s="185">
        <v>-279.60000000000002</v>
      </c>
      <c r="T291" s="185">
        <v>697.51976000000002</v>
      </c>
      <c r="U291" s="185">
        <v>243.77994000000001</v>
      </c>
      <c r="V291" s="187">
        <v>711.16976</v>
      </c>
      <c r="X291" s="185">
        <v>2810</v>
      </c>
      <c r="Y291" s="185">
        <v>1696.4996999999998</v>
      </c>
      <c r="Z291" s="183">
        <v>0.6037365480427046</v>
      </c>
      <c r="AA291" s="185">
        <v>172.20060000000001</v>
      </c>
      <c r="AB291" s="185">
        <v>697.51976000000002</v>
      </c>
      <c r="AC291" s="185">
        <v>243.77994000000001</v>
      </c>
      <c r="AD291" s="185">
        <v>2810</v>
      </c>
      <c r="AE291" s="186">
        <v>10</v>
      </c>
      <c r="AF291" s="183">
        <v>0.2</v>
      </c>
      <c r="AG291" s="186">
        <v>20</v>
      </c>
      <c r="AH291" s="183">
        <v>0.2</v>
      </c>
    </row>
    <row r="292" spans="3:34" x14ac:dyDescent="0.25">
      <c r="C292" s="181">
        <v>2820</v>
      </c>
      <c r="D292" s="183">
        <v>0</v>
      </c>
      <c r="E292" s="185">
        <v>195</v>
      </c>
      <c r="F292" s="181">
        <v>195</v>
      </c>
      <c r="G292" s="185">
        <v>2625</v>
      </c>
      <c r="H292" s="185">
        <v>85.818599999999989</v>
      </c>
      <c r="I292" s="185">
        <v>71.37</v>
      </c>
      <c r="J292" s="185">
        <v>15.011999999999999</v>
      </c>
      <c r="K292" s="181">
        <v>0</v>
      </c>
      <c r="P292" s="186">
        <v>172.20060000000001</v>
      </c>
      <c r="Q292" s="186">
        <v>2452.7993999999999</v>
      </c>
      <c r="R292" s="183">
        <v>0.4</v>
      </c>
      <c r="S292" s="185">
        <v>-279.60000000000002</v>
      </c>
      <c r="T292" s="185">
        <v>701.51976000000002</v>
      </c>
      <c r="U292" s="185">
        <v>244.77994000000001</v>
      </c>
      <c r="V292" s="187">
        <v>715.16976</v>
      </c>
      <c r="X292" s="185">
        <v>2820</v>
      </c>
      <c r="Y292" s="185">
        <v>1701.4996999999998</v>
      </c>
      <c r="Z292" s="183">
        <v>0.60336868794326237</v>
      </c>
      <c r="AA292" s="185">
        <v>172.20060000000001</v>
      </c>
      <c r="AB292" s="185">
        <v>701.51976000000002</v>
      </c>
      <c r="AC292" s="185">
        <v>244.77994000000001</v>
      </c>
      <c r="AD292" s="185">
        <v>2820</v>
      </c>
      <c r="AE292" s="186">
        <v>10</v>
      </c>
      <c r="AF292" s="183">
        <v>0.2</v>
      </c>
      <c r="AG292" s="186">
        <v>20</v>
      </c>
      <c r="AH292" s="183">
        <v>0.2</v>
      </c>
    </row>
    <row r="293" spans="3:34" x14ac:dyDescent="0.25">
      <c r="C293" s="181">
        <v>2830</v>
      </c>
      <c r="D293" s="183">
        <v>0</v>
      </c>
      <c r="E293" s="185">
        <v>195</v>
      </c>
      <c r="F293" s="181">
        <v>195</v>
      </c>
      <c r="G293" s="185">
        <v>2635</v>
      </c>
      <c r="H293" s="185">
        <v>85.818599999999989</v>
      </c>
      <c r="I293" s="185">
        <v>71.37</v>
      </c>
      <c r="J293" s="185">
        <v>15.011999999999999</v>
      </c>
      <c r="K293" s="181">
        <v>0</v>
      </c>
      <c r="P293" s="186">
        <v>172.20060000000001</v>
      </c>
      <c r="Q293" s="186">
        <v>2462.7993999999999</v>
      </c>
      <c r="R293" s="183">
        <v>0.4</v>
      </c>
      <c r="S293" s="185">
        <v>-279.60000000000002</v>
      </c>
      <c r="T293" s="185">
        <v>705.51976000000002</v>
      </c>
      <c r="U293" s="185">
        <v>245.77994000000001</v>
      </c>
      <c r="V293" s="187">
        <v>719.16976</v>
      </c>
      <c r="X293" s="185">
        <v>2830</v>
      </c>
      <c r="Y293" s="185">
        <v>1706.4996999999998</v>
      </c>
      <c r="Z293" s="183">
        <v>0.60300342756183745</v>
      </c>
      <c r="AA293" s="185">
        <v>172.20060000000001</v>
      </c>
      <c r="AB293" s="185">
        <v>705.51976000000002</v>
      </c>
      <c r="AC293" s="185">
        <v>245.77994000000001</v>
      </c>
      <c r="AD293" s="185">
        <v>2830</v>
      </c>
      <c r="AE293" s="186">
        <v>10</v>
      </c>
      <c r="AF293" s="183">
        <v>0.2</v>
      </c>
      <c r="AG293" s="186">
        <v>20</v>
      </c>
      <c r="AH293" s="183">
        <v>0.2</v>
      </c>
    </row>
    <row r="294" spans="3:34" x14ac:dyDescent="0.25">
      <c r="C294" s="181">
        <v>2840</v>
      </c>
      <c r="D294" s="183">
        <v>0</v>
      </c>
      <c r="E294" s="185">
        <v>195</v>
      </c>
      <c r="F294" s="181">
        <v>195</v>
      </c>
      <c r="G294" s="185">
        <v>2645</v>
      </c>
      <c r="H294" s="185">
        <v>85.818599999999989</v>
      </c>
      <c r="I294" s="185">
        <v>71.37</v>
      </c>
      <c r="J294" s="185">
        <v>15.011999999999999</v>
      </c>
      <c r="K294" s="181">
        <v>0</v>
      </c>
      <c r="P294" s="186">
        <v>172.20060000000001</v>
      </c>
      <c r="Q294" s="186">
        <v>2472.7993999999999</v>
      </c>
      <c r="R294" s="183">
        <v>0.4</v>
      </c>
      <c r="S294" s="185">
        <v>-279.60000000000002</v>
      </c>
      <c r="T294" s="185">
        <v>709.51976000000002</v>
      </c>
      <c r="U294" s="185">
        <v>246.77994000000001</v>
      </c>
      <c r="V294" s="187">
        <v>723.16976</v>
      </c>
      <c r="X294" s="185">
        <v>2840</v>
      </c>
      <c r="Y294" s="185">
        <v>1711.4996999999998</v>
      </c>
      <c r="Z294" s="183">
        <v>0.60264073943661967</v>
      </c>
      <c r="AA294" s="185">
        <v>172.20060000000001</v>
      </c>
      <c r="AB294" s="185">
        <v>709.51976000000002</v>
      </c>
      <c r="AC294" s="185">
        <v>246.77994000000001</v>
      </c>
      <c r="AD294" s="185">
        <v>2840</v>
      </c>
      <c r="AE294" s="186">
        <v>10</v>
      </c>
      <c r="AF294" s="183">
        <v>0.2</v>
      </c>
      <c r="AG294" s="186">
        <v>20</v>
      </c>
      <c r="AH294" s="183">
        <v>0.2</v>
      </c>
    </row>
    <row r="295" spans="3:34" x14ac:dyDescent="0.25">
      <c r="C295" s="181">
        <v>2850</v>
      </c>
      <c r="D295" s="183">
        <v>0</v>
      </c>
      <c r="E295" s="185">
        <v>195</v>
      </c>
      <c r="F295" s="181">
        <v>195</v>
      </c>
      <c r="G295" s="185">
        <v>2655</v>
      </c>
      <c r="H295" s="185">
        <v>85.818599999999989</v>
      </c>
      <c r="I295" s="185">
        <v>71.37</v>
      </c>
      <c r="J295" s="185">
        <v>15.011999999999999</v>
      </c>
      <c r="K295" s="181">
        <v>0</v>
      </c>
      <c r="P295" s="186">
        <v>172.20060000000001</v>
      </c>
      <c r="Q295" s="186">
        <v>2482.7993999999999</v>
      </c>
      <c r="R295" s="183">
        <v>0.4</v>
      </c>
      <c r="S295" s="185">
        <v>-279.60000000000002</v>
      </c>
      <c r="T295" s="185">
        <v>713.51976000000002</v>
      </c>
      <c r="U295" s="185">
        <v>247.77994000000001</v>
      </c>
      <c r="V295" s="187">
        <v>727.16976</v>
      </c>
      <c r="X295" s="185">
        <v>2850</v>
      </c>
      <c r="Y295" s="185">
        <v>1716.4996999999998</v>
      </c>
      <c r="Z295" s="183">
        <v>0.602280596491228</v>
      </c>
      <c r="AA295" s="185">
        <v>172.20060000000001</v>
      </c>
      <c r="AB295" s="185">
        <v>713.51976000000002</v>
      </c>
      <c r="AC295" s="185">
        <v>247.77994000000001</v>
      </c>
      <c r="AD295" s="185">
        <v>2850</v>
      </c>
      <c r="AE295" s="186">
        <v>10</v>
      </c>
      <c r="AF295" s="183">
        <v>0.2</v>
      </c>
      <c r="AG295" s="186">
        <v>20</v>
      </c>
      <c r="AH295" s="183">
        <v>0.2</v>
      </c>
    </row>
    <row r="296" spans="3:34" x14ac:dyDescent="0.25">
      <c r="C296" s="181">
        <v>2860</v>
      </c>
      <c r="D296" s="183">
        <v>0</v>
      </c>
      <c r="E296" s="185">
        <v>195</v>
      </c>
      <c r="F296" s="181">
        <v>195</v>
      </c>
      <c r="G296" s="185">
        <v>2665</v>
      </c>
      <c r="H296" s="185">
        <v>85.818599999999989</v>
      </c>
      <c r="I296" s="185">
        <v>71.37</v>
      </c>
      <c r="J296" s="185">
        <v>15.011999999999999</v>
      </c>
      <c r="K296" s="181">
        <v>0</v>
      </c>
      <c r="P296" s="186">
        <v>172.20060000000001</v>
      </c>
      <c r="Q296" s="186">
        <v>2492.7993999999999</v>
      </c>
      <c r="R296" s="183">
        <v>0.4</v>
      </c>
      <c r="S296" s="185">
        <v>-279.60000000000002</v>
      </c>
      <c r="T296" s="185">
        <v>717.51976000000002</v>
      </c>
      <c r="U296" s="185">
        <v>248.77994000000001</v>
      </c>
      <c r="V296" s="187">
        <v>731.16976</v>
      </c>
      <c r="X296" s="185">
        <v>2860</v>
      </c>
      <c r="Y296" s="185">
        <v>1721.4996999999998</v>
      </c>
      <c r="Z296" s="183">
        <v>0.60192297202797196</v>
      </c>
      <c r="AA296" s="185">
        <v>172.20060000000001</v>
      </c>
      <c r="AB296" s="185">
        <v>717.51976000000002</v>
      </c>
      <c r="AC296" s="185">
        <v>248.77994000000001</v>
      </c>
      <c r="AD296" s="185">
        <v>2860</v>
      </c>
      <c r="AE296" s="186">
        <v>10</v>
      </c>
      <c r="AF296" s="183">
        <v>0.2</v>
      </c>
      <c r="AG296" s="186">
        <v>20</v>
      </c>
      <c r="AH296" s="183">
        <v>0.2</v>
      </c>
    </row>
    <row r="297" spans="3:34" x14ac:dyDescent="0.25">
      <c r="C297" s="181">
        <v>2870</v>
      </c>
      <c r="D297" s="183">
        <v>0</v>
      </c>
      <c r="E297" s="185">
        <v>195</v>
      </c>
      <c r="F297" s="181">
        <v>195</v>
      </c>
      <c r="G297" s="185">
        <v>2675</v>
      </c>
      <c r="H297" s="185">
        <v>85.818599999999989</v>
      </c>
      <c r="I297" s="185">
        <v>71.37</v>
      </c>
      <c r="J297" s="185">
        <v>15.011999999999999</v>
      </c>
      <c r="K297" s="181">
        <v>0</v>
      </c>
      <c r="P297" s="186">
        <v>172.20060000000001</v>
      </c>
      <c r="Q297" s="186">
        <v>2502.7993999999999</v>
      </c>
      <c r="R297" s="183">
        <v>0.4</v>
      </c>
      <c r="S297" s="185">
        <v>-279.60000000000002</v>
      </c>
      <c r="T297" s="185">
        <v>721.51976000000002</v>
      </c>
      <c r="U297" s="185">
        <v>249.77994000000001</v>
      </c>
      <c r="V297" s="187">
        <v>735.16976</v>
      </c>
      <c r="X297" s="185">
        <v>2870</v>
      </c>
      <c r="Y297" s="185">
        <v>1726.4996999999998</v>
      </c>
      <c r="Z297" s="183">
        <v>0.60156783972125427</v>
      </c>
      <c r="AA297" s="185">
        <v>172.20060000000001</v>
      </c>
      <c r="AB297" s="185">
        <v>721.51976000000002</v>
      </c>
      <c r="AC297" s="185">
        <v>249.77994000000001</v>
      </c>
      <c r="AD297" s="185">
        <v>2870</v>
      </c>
      <c r="AE297" s="186">
        <v>10</v>
      </c>
      <c r="AF297" s="183">
        <v>0.2</v>
      </c>
      <c r="AG297" s="186">
        <v>20</v>
      </c>
      <c r="AH297" s="183">
        <v>0.2</v>
      </c>
    </row>
    <row r="298" spans="3:34" x14ac:dyDescent="0.25">
      <c r="C298" s="181">
        <v>2880</v>
      </c>
      <c r="D298" s="183">
        <v>0</v>
      </c>
      <c r="E298" s="185">
        <v>195</v>
      </c>
      <c r="F298" s="181">
        <v>195</v>
      </c>
      <c r="G298" s="185">
        <v>2685</v>
      </c>
      <c r="H298" s="185">
        <v>85.818599999999989</v>
      </c>
      <c r="I298" s="185">
        <v>71.37</v>
      </c>
      <c r="J298" s="185">
        <v>15.011999999999999</v>
      </c>
      <c r="K298" s="181">
        <v>0</v>
      </c>
      <c r="P298" s="186">
        <v>172.20060000000001</v>
      </c>
      <c r="Q298" s="186">
        <v>2512.7993999999999</v>
      </c>
      <c r="R298" s="183">
        <v>0.4</v>
      </c>
      <c r="S298" s="185">
        <v>-279.60000000000002</v>
      </c>
      <c r="T298" s="185">
        <v>725.51976000000002</v>
      </c>
      <c r="U298" s="185">
        <v>250.77994000000001</v>
      </c>
      <c r="V298" s="187">
        <v>739.16976</v>
      </c>
      <c r="X298" s="185">
        <v>2880</v>
      </c>
      <c r="Y298" s="185">
        <v>1731.4996999999998</v>
      </c>
      <c r="Z298" s="183">
        <v>0.6012151736111111</v>
      </c>
      <c r="AA298" s="185">
        <v>172.20060000000001</v>
      </c>
      <c r="AB298" s="185">
        <v>725.51976000000002</v>
      </c>
      <c r="AC298" s="185">
        <v>250.77994000000001</v>
      </c>
      <c r="AD298" s="185">
        <v>2880</v>
      </c>
      <c r="AE298" s="186">
        <v>10</v>
      </c>
      <c r="AF298" s="183">
        <v>0.2</v>
      </c>
      <c r="AG298" s="186">
        <v>20</v>
      </c>
      <c r="AH298" s="183">
        <v>0.2</v>
      </c>
    </row>
    <row r="299" spans="3:34" x14ac:dyDescent="0.25">
      <c r="C299" s="181">
        <v>2890</v>
      </c>
      <c r="D299" s="183">
        <v>0</v>
      </c>
      <c r="E299" s="185">
        <v>195</v>
      </c>
      <c r="F299" s="181">
        <v>195</v>
      </c>
      <c r="G299" s="185">
        <v>2695</v>
      </c>
      <c r="H299" s="185">
        <v>85.818599999999989</v>
      </c>
      <c r="I299" s="185">
        <v>71.37</v>
      </c>
      <c r="J299" s="185">
        <v>15.011999999999999</v>
      </c>
      <c r="K299" s="181">
        <v>0</v>
      </c>
      <c r="P299" s="186">
        <v>172.20060000000001</v>
      </c>
      <c r="Q299" s="186">
        <v>2522.7993999999999</v>
      </c>
      <c r="R299" s="183">
        <v>0.4</v>
      </c>
      <c r="S299" s="185">
        <v>-279.60000000000002</v>
      </c>
      <c r="T299" s="185">
        <v>729.51976000000002</v>
      </c>
      <c r="U299" s="185">
        <v>251.77994000000001</v>
      </c>
      <c r="V299" s="187">
        <v>743.16976</v>
      </c>
      <c r="X299" s="185">
        <v>2890</v>
      </c>
      <c r="Y299" s="185">
        <v>1736.4996999999998</v>
      </c>
      <c r="Z299" s="183">
        <v>0.60086494809688573</v>
      </c>
      <c r="AA299" s="185">
        <v>172.20060000000001</v>
      </c>
      <c r="AB299" s="185">
        <v>729.51976000000002</v>
      </c>
      <c r="AC299" s="185">
        <v>251.77994000000001</v>
      </c>
      <c r="AD299" s="185">
        <v>2890</v>
      </c>
      <c r="AE299" s="186">
        <v>10</v>
      </c>
      <c r="AF299" s="183">
        <v>0.2</v>
      </c>
      <c r="AG299" s="186">
        <v>20</v>
      </c>
      <c r="AH299" s="183">
        <v>0.2</v>
      </c>
    </row>
    <row r="300" spans="3:34" x14ac:dyDescent="0.25">
      <c r="C300" s="181">
        <v>2900</v>
      </c>
      <c r="D300" s="183">
        <v>0</v>
      </c>
      <c r="E300" s="185">
        <v>195</v>
      </c>
      <c r="F300" s="181">
        <v>195</v>
      </c>
      <c r="G300" s="185">
        <v>2705</v>
      </c>
      <c r="H300" s="185">
        <v>85.818599999999989</v>
      </c>
      <c r="I300" s="185">
        <v>71.37</v>
      </c>
      <c r="J300" s="185">
        <v>15.011999999999999</v>
      </c>
      <c r="K300" s="181">
        <v>0</v>
      </c>
      <c r="P300" s="186">
        <v>172.20060000000001</v>
      </c>
      <c r="Q300" s="186">
        <v>2532.7993999999999</v>
      </c>
      <c r="R300" s="183">
        <v>0.4</v>
      </c>
      <c r="S300" s="185">
        <v>-279.60000000000002</v>
      </c>
      <c r="T300" s="185">
        <v>733.51976000000002</v>
      </c>
      <c r="U300" s="185">
        <v>252.77994000000001</v>
      </c>
      <c r="V300" s="187">
        <v>747.16976</v>
      </c>
      <c r="X300" s="185">
        <v>2900</v>
      </c>
      <c r="Y300" s="185">
        <v>1741.4996999999998</v>
      </c>
      <c r="Z300" s="183">
        <v>0.60051713793103445</v>
      </c>
      <c r="AA300" s="185">
        <v>172.20060000000001</v>
      </c>
      <c r="AB300" s="185">
        <v>733.51976000000002</v>
      </c>
      <c r="AC300" s="185">
        <v>252.77994000000001</v>
      </c>
      <c r="AD300" s="185">
        <v>2900</v>
      </c>
      <c r="AE300" s="186">
        <v>10</v>
      </c>
      <c r="AF300" s="183">
        <v>0.2</v>
      </c>
      <c r="AG300" s="186">
        <v>20</v>
      </c>
      <c r="AH300" s="183">
        <v>0.2</v>
      </c>
    </row>
    <row r="301" spans="3:34" x14ac:dyDescent="0.25">
      <c r="C301" s="181">
        <v>2910</v>
      </c>
      <c r="D301" s="183">
        <v>0</v>
      </c>
      <c r="E301" s="185">
        <v>195</v>
      </c>
      <c r="F301" s="181">
        <v>195</v>
      </c>
      <c r="G301" s="185">
        <v>2715</v>
      </c>
      <c r="H301" s="185">
        <v>85.818599999999989</v>
      </c>
      <c r="I301" s="185">
        <v>71.37</v>
      </c>
      <c r="J301" s="185">
        <v>15.011999999999999</v>
      </c>
      <c r="K301" s="181">
        <v>0</v>
      </c>
      <c r="P301" s="186">
        <v>172.20060000000001</v>
      </c>
      <c r="Q301" s="186">
        <v>2542.7993999999999</v>
      </c>
      <c r="R301" s="183">
        <v>0.4</v>
      </c>
      <c r="S301" s="185">
        <v>-279.60000000000002</v>
      </c>
      <c r="T301" s="185">
        <v>737.51976000000002</v>
      </c>
      <c r="U301" s="185">
        <v>253.77994000000001</v>
      </c>
      <c r="V301" s="187">
        <v>751.16976</v>
      </c>
      <c r="X301" s="185">
        <v>2910</v>
      </c>
      <c r="Y301" s="185">
        <v>1746.4996999999998</v>
      </c>
      <c r="Z301" s="183">
        <v>0.60017171821305837</v>
      </c>
      <c r="AA301" s="185">
        <v>172.20060000000001</v>
      </c>
      <c r="AB301" s="185">
        <v>737.51976000000002</v>
      </c>
      <c r="AC301" s="185">
        <v>253.77994000000001</v>
      </c>
      <c r="AD301" s="185">
        <v>2910</v>
      </c>
      <c r="AE301" s="186">
        <v>10</v>
      </c>
      <c r="AF301" s="183">
        <v>0.2</v>
      </c>
      <c r="AG301" s="186">
        <v>20</v>
      </c>
      <c r="AH301" s="183">
        <v>0.2</v>
      </c>
    </row>
    <row r="302" spans="3:34" x14ac:dyDescent="0.25">
      <c r="C302" s="181">
        <v>2920</v>
      </c>
      <c r="D302" s="183">
        <v>0</v>
      </c>
      <c r="E302" s="185">
        <v>195</v>
      </c>
      <c r="F302" s="181">
        <v>195</v>
      </c>
      <c r="G302" s="185">
        <v>2725</v>
      </c>
      <c r="H302" s="185">
        <v>85.818599999999989</v>
      </c>
      <c r="I302" s="185">
        <v>71.37</v>
      </c>
      <c r="J302" s="185">
        <v>15.011999999999999</v>
      </c>
      <c r="K302" s="181">
        <v>0</v>
      </c>
      <c r="P302" s="186">
        <v>172.20060000000001</v>
      </c>
      <c r="Q302" s="186">
        <v>2552.7993999999999</v>
      </c>
      <c r="R302" s="183">
        <v>0.4</v>
      </c>
      <c r="S302" s="185">
        <v>-279.60000000000002</v>
      </c>
      <c r="T302" s="185">
        <v>741.51976000000002</v>
      </c>
      <c r="U302" s="185">
        <v>254.77994000000001</v>
      </c>
      <c r="V302" s="187">
        <v>755.16976</v>
      </c>
      <c r="X302" s="185">
        <v>2920</v>
      </c>
      <c r="Y302" s="185">
        <v>1751.4996999999998</v>
      </c>
      <c r="Z302" s="183">
        <v>0.59982866438356164</v>
      </c>
      <c r="AA302" s="185">
        <v>172.20060000000001</v>
      </c>
      <c r="AB302" s="185">
        <v>741.51976000000002</v>
      </c>
      <c r="AC302" s="185">
        <v>254.77994000000001</v>
      </c>
      <c r="AD302" s="185">
        <v>2920</v>
      </c>
      <c r="AE302" s="186">
        <v>10</v>
      </c>
      <c r="AF302" s="183">
        <v>0.2</v>
      </c>
      <c r="AG302" s="186">
        <v>20</v>
      </c>
      <c r="AH302" s="183">
        <v>0.2</v>
      </c>
    </row>
    <row r="303" spans="3:34" x14ac:dyDescent="0.25">
      <c r="C303" s="181">
        <v>2930</v>
      </c>
      <c r="D303" s="183">
        <v>0</v>
      </c>
      <c r="E303" s="185">
        <v>195</v>
      </c>
      <c r="F303" s="181">
        <v>195</v>
      </c>
      <c r="G303" s="185">
        <v>2735</v>
      </c>
      <c r="H303" s="185">
        <v>85.818599999999989</v>
      </c>
      <c r="I303" s="185">
        <v>71.37</v>
      </c>
      <c r="J303" s="185">
        <v>15.011999999999999</v>
      </c>
      <c r="K303" s="181">
        <v>0</v>
      </c>
      <c r="P303" s="186">
        <v>172.20060000000001</v>
      </c>
      <c r="Q303" s="186">
        <v>2562.7993999999999</v>
      </c>
      <c r="R303" s="183">
        <v>0.4</v>
      </c>
      <c r="S303" s="185">
        <v>-279.60000000000002</v>
      </c>
      <c r="T303" s="185">
        <v>745.51976000000002</v>
      </c>
      <c r="U303" s="185">
        <v>255.77994000000001</v>
      </c>
      <c r="V303" s="187">
        <v>759.16976</v>
      </c>
      <c r="X303" s="185">
        <v>2930</v>
      </c>
      <c r="Y303" s="185">
        <v>1756.4996999999998</v>
      </c>
      <c r="Z303" s="183">
        <v>0.59948795221842999</v>
      </c>
      <c r="AA303" s="185">
        <v>172.20060000000001</v>
      </c>
      <c r="AB303" s="185">
        <v>745.51976000000002</v>
      </c>
      <c r="AC303" s="185">
        <v>255.77994000000001</v>
      </c>
      <c r="AD303" s="185">
        <v>2930</v>
      </c>
      <c r="AE303" s="186">
        <v>10</v>
      </c>
      <c r="AF303" s="183">
        <v>0.2</v>
      </c>
      <c r="AG303" s="186">
        <v>20</v>
      </c>
      <c r="AH303" s="183">
        <v>0.2</v>
      </c>
    </row>
    <row r="304" spans="3:34" x14ac:dyDescent="0.25">
      <c r="C304" s="181">
        <v>2940</v>
      </c>
      <c r="D304" s="183">
        <v>0</v>
      </c>
      <c r="E304" s="185">
        <v>195</v>
      </c>
      <c r="F304" s="181">
        <v>195</v>
      </c>
      <c r="G304" s="185">
        <v>2745</v>
      </c>
      <c r="H304" s="185">
        <v>85.818599999999989</v>
      </c>
      <c r="I304" s="185">
        <v>71.37</v>
      </c>
      <c r="J304" s="185">
        <v>15.011999999999999</v>
      </c>
      <c r="K304" s="181">
        <v>0</v>
      </c>
      <c r="P304" s="186">
        <v>172.20060000000001</v>
      </c>
      <c r="Q304" s="186">
        <v>2572.7993999999999</v>
      </c>
      <c r="R304" s="183">
        <v>0.4</v>
      </c>
      <c r="S304" s="185">
        <v>-279.60000000000002</v>
      </c>
      <c r="T304" s="185">
        <v>749.51976000000002</v>
      </c>
      <c r="U304" s="185">
        <v>256.77994000000001</v>
      </c>
      <c r="V304" s="187">
        <v>763.16976</v>
      </c>
      <c r="X304" s="185">
        <v>2940</v>
      </c>
      <c r="Y304" s="185">
        <v>1761.4996999999998</v>
      </c>
      <c r="Z304" s="183">
        <v>0.59914955782312918</v>
      </c>
      <c r="AA304" s="185">
        <v>172.20060000000001</v>
      </c>
      <c r="AB304" s="185">
        <v>749.51976000000002</v>
      </c>
      <c r="AC304" s="185">
        <v>256.77994000000001</v>
      </c>
      <c r="AD304" s="185">
        <v>2940</v>
      </c>
      <c r="AE304" s="186">
        <v>10</v>
      </c>
      <c r="AF304" s="183">
        <v>0.2</v>
      </c>
      <c r="AG304" s="186">
        <v>20</v>
      </c>
      <c r="AH304" s="183">
        <v>0.2</v>
      </c>
    </row>
    <row r="305" spans="3:34" x14ac:dyDescent="0.25">
      <c r="C305" s="181">
        <v>2950</v>
      </c>
      <c r="D305" s="183">
        <v>0</v>
      </c>
      <c r="E305" s="185">
        <v>195</v>
      </c>
      <c r="F305" s="181">
        <v>195</v>
      </c>
      <c r="G305" s="185">
        <v>2755</v>
      </c>
      <c r="H305" s="185">
        <v>85.818599999999989</v>
      </c>
      <c r="I305" s="185">
        <v>71.37</v>
      </c>
      <c r="J305" s="185">
        <v>15.011999999999999</v>
      </c>
      <c r="K305" s="181">
        <v>0</v>
      </c>
      <c r="P305" s="186">
        <v>172.20060000000001</v>
      </c>
      <c r="Q305" s="186">
        <v>2582.7993999999999</v>
      </c>
      <c r="R305" s="183">
        <v>0.4</v>
      </c>
      <c r="S305" s="185">
        <v>-279.60000000000002</v>
      </c>
      <c r="T305" s="185">
        <v>753.51976000000002</v>
      </c>
      <c r="U305" s="185">
        <v>257.77994000000001</v>
      </c>
      <c r="V305" s="187">
        <v>767.16976</v>
      </c>
      <c r="X305" s="185">
        <v>2950</v>
      </c>
      <c r="Y305" s="185">
        <v>1766.4996999999998</v>
      </c>
      <c r="Z305" s="183">
        <v>0.59881345762711857</v>
      </c>
      <c r="AA305" s="185">
        <v>172.20060000000001</v>
      </c>
      <c r="AB305" s="185">
        <v>753.51976000000002</v>
      </c>
      <c r="AC305" s="185">
        <v>257.77994000000001</v>
      </c>
      <c r="AD305" s="185">
        <v>2950</v>
      </c>
      <c r="AE305" s="186">
        <v>10</v>
      </c>
      <c r="AF305" s="183">
        <v>0.2</v>
      </c>
      <c r="AG305" s="186">
        <v>20</v>
      </c>
      <c r="AH305" s="183">
        <v>0.2</v>
      </c>
    </row>
    <row r="306" spans="3:34" x14ac:dyDescent="0.25">
      <c r="C306" s="181">
        <v>2960</v>
      </c>
      <c r="D306" s="183">
        <v>0</v>
      </c>
      <c r="E306" s="185">
        <v>195</v>
      </c>
      <c r="F306" s="181">
        <v>195</v>
      </c>
      <c r="G306" s="185">
        <v>2765</v>
      </c>
      <c r="H306" s="185">
        <v>85.818599999999989</v>
      </c>
      <c r="I306" s="185">
        <v>71.37</v>
      </c>
      <c r="J306" s="185">
        <v>15.011999999999999</v>
      </c>
      <c r="K306" s="181">
        <v>0</v>
      </c>
      <c r="P306" s="186">
        <v>172.20060000000001</v>
      </c>
      <c r="Q306" s="186">
        <v>2592.7993999999999</v>
      </c>
      <c r="R306" s="183">
        <v>0.4</v>
      </c>
      <c r="S306" s="185">
        <v>-279.60000000000002</v>
      </c>
      <c r="T306" s="185">
        <v>757.51976000000002</v>
      </c>
      <c r="U306" s="185">
        <v>258.77994000000001</v>
      </c>
      <c r="V306" s="187">
        <v>771.16976</v>
      </c>
      <c r="X306" s="185">
        <v>2960</v>
      </c>
      <c r="Y306" s="185">
        <v>1771.4996999999998</v>
      </c>
      <c r="Z306" s="183">
        <v>0.59847962837837831</v>
      </c>
      <c r="AA306" s="185">
        <v>172.20060000000001</v>
      </c>
      <c r="AB306" s="185">
        <v>757.51976000000002</v>
      </c>
      <c r="AC306" s="185">
        <v>258.77994000000001</v>
      </c>
      <c r="AD306" s="185">
        <v>2960</v>
      </c>
      <c r="AE306" s="186">
        <v>10</v>
      </c>
      <c r="AF306" s="183">
        <v>0.2</v>
      </c>
      <c r="AG306" s="186">
        <v>20</v>
      </c>
      <c r="AH306" s="183">
        <v>0.2</v>
      </c>
    </row>
    <row r="307" spans="3:34" x14ac:dyDescent="0.25">
      <c r="C307" s="181">
        <v>2970</v>
      </c>
      <c r="D307" s="183">
        <v>0</v>
      </c>
      <c r="E307" s="185">
        <v>195</v>
      </c>
      <c r="F307" s="181">
        <v>195</v>
      </c>
      <c r="G307" s="185">
        <v>2775</v>
      </c>
      <c r="H307" s="185">
        <v>85.818599999999989</v>
      </c>
      <c r="I307" s="185">
        <v>71.37</v>
      </c>
      <c r="J307" s="185">
        <v>15.011999999999999</v>
      </c>
      <c r="K307" s="181">
        <v>0</v>
      </c>
      <c r="P307" s="186">
        <v>172.20060000000001</v>
      </c>
      <c r="Q307" s="186">
        <v>2602.7993999999999</v>
      </c>
      <c r="R307" s="183">
        <v>0.4</v>
      </c>
      <c r="S307" s="185">
        <v>-279.60000000000002</v>
      </c>
      <c r="T307" s="185">
        <v>761.51976000000002</v>
      </c>
      <c r="U307" s="185">
        <v>259.77994000000001</v>
      </c>
      <c r="V307" s="187">
        <v>775.16976</v>
      </c>
      <c r="X307" s="185">
        <v>2970</v>
      </c>
      <c r="Y307" s="185">
        <v>1776.4996999999998</v>
      </c>
      <c r="Z307" s="183">
        <v>0.59814804713804703</v>
      </c>
      <c r="AA307" s="185">
        <v>172.20060000000001</v>
      </c>
      <c r="AB307" s="185">
        <v>761.51976000000002</v>
      </c>
      <c r="AC307" s="185">
        <v>259.77994000000001</v>
      </c>
      <c r="AD307" s="185">
        <v>2970</v>
      </c>
      <c r="AE307" s="186">
        <v>10</v>
      </c>
      <c r="AF307" s="183">
        <v>0.2</v>
      </c>
      <c r="AG307" s="186">
        <v>20</v>
      </c>
      <c r="AH307" s="183">
        <v>0.2</v>
      </c>
    </row>
    <row r="308" spans="3:34" x14ac:dyDescent="0.25">
      <c r="C308" s="181">
        <v>2980</v>
      </c>
      <c r="D308" s="183">
        <v>0</v>
      </c>
      <c r="E308" s="185">
        <v>195</v>
      </c>
      <c r="F308" s="181">
        <v>195</v>
      </c>
      <c r="G308" s="185">
        <v>2785</v>
      </c>
      <c r="H308" s="185">
        <v>85.818599999999989</v>
      </c>
      <c r="I308" s="185">
        <v>71.37</v>
      </c>
      <c r="J308" s="185">
        <v>15.011999999999999</v>
      </c>
      <c r="K308" s="181">
        <v>0</v>
      </c>
      <c r="P308" s="186">
        <v>172.20060000000001</v>
      </c>
      <c r="Q308" s="186">
        <v>2612.7993999999999</v>
      </c>
      <c r="R308" s="183">
        <v>0.4</v>
      </c>
      <c r="S308" s="185">
        <v>-279.60000000000002</v>
      </c>
      <c r="T308" s="185">
        <v>765.51976000000002</v>
      </c>
      <c r="U308" s="185">
        <v>260.77994000000001</v>
      </c>
      <c r="V308" s="187">
        <v>779.16976</v>
      </c>
      <c r="X308" s="185">
        <v>2980</v>
      </c>
      <c r="Y308" s="185">
        <v>1781.4996999999998</v>
      </c>
      <c r="Z308" s="183">
        <v>0.59781869127516774</v>
      </c>
      <c r="AA308" s="185">
        <v>172.20060000000001</v>
      </c>
      <c r="AB308" s="185">
        <v>765.51976000000002</v>
      </c>
      <c r="AC308" s="185">
        <v>260.77994000000001</v>
      </c>
      <c r="AD308" s="185">
        <v>2980</v>
      </c>
      <c r="AE308" s="186">
        <v>10</v>
      </c>
      <c r="AF308" s="183">
        <v>0.2</v>
      </c>
      <c r="AG308" s="186">
        <v>20</v>
      </c>
      <c r="AH308" s="183">
        <v>0.2</v>
      </c>
    </row>
    <row r="309" spans="3:34" x14ac:dyDescent="0.25">
      <c r="C309" s="181">
        <v>2990</v>
      </c>
      <c r="D309" s="183">
        <v>0</v>
      </c>
      <c r="E309" s="185">
        <v>195</v>
      </c>
      <c r="F309" s="181">
        <v>195</v>
      </c>
      <c r="G309" s="185">
        <v>2795</v>
      </c>
      <c r="H309" s="185">
        <v>85.818599999999989</v>
      </c>
      <c r="I309" s="185">
        <v>71.37</v>
      </c>
      <c r="J309" s="185">
        <v>15.011999999999999</v>
      </c>
      <c r="K309" s="181">
        <v>0</v>
      </c>
      <c r="P309" s="186">
        <v>172.20060000000001</v>
      </c>
      <c r="Q309" s="186">
        <v>2622.7993999999999</v>
      </c>
      <c r="R309" s="183">
        <v>0.4</v>
      </c>
      <c r="S309" s="185">
        <v>-279.60000000000002</v>
      </c>
      <c r="T309" s="185">
        <v>769.51976000000002</v>
      </c>
      <c r="U309" s="185">
        <v>261.77994000000001</v>
      </c>
      <c r="V309" s="187">
        <v>783.16976</v>
      </c>
      <c r="X309" s="185">
        <v>2990</v>
      </c>
      <c r="Y309" s="185">
        <v>1786.4996999999998</v>
      </c>
      <c r="Z309" s="183">
        <v>0.59749153846153846</v>
      </c>
      <c r="AA309" s="185">
        <v>172.20060000000001</v>
      </c>
      <c r="AB309" s="185">
        <v>769.51976000000002</v>
      </c>
      <c r="AC309" s="185">
        <v>261.77994000000001</v>
      </c>
      <c r="AD309" s="185">
        <v>2990</v>
      </c>
      <c r="AE309" s="186">
        <v>10</v>
      </c>
      <c r="AF309" s="183">
        <v>0.2</v>
      </c>
      <c r="AG309" s="186">
        <v>20</v>
      </c>
      <c r="AH309" s="183">
        <v>0.2</v>
      </c>
    </row>
    <row r="310" spans="3:34" x14ac:dyDescent="0.25">
      <c r="C310" s="181">
        <v>3000</v>
      </c>
      <c r="D310" s="183">
        <v>0</v>
      </c>
      <c r="E310" s="185">
        <v>195</v>
      </c>
      <c r="F310" s="181">
        <v>195</v>
      </c>
      <c r="G310" s="185">
        <v>2805</v>
      </c>
      <c r="H310" s="185">
        <v>85.818599999999989</v>
      </c>
      <c r="I310" s="185">
        <v>71.37</v>
      </c>
      <c r="J310" s="185">
        <v>15.011999999999999</v>
      </c>
      <c r="K310" s="181">
        <v>0</v>
      </c>
      <c r="P310" s="186">
        <v>172.20060000000001</v>
      </c>
      <c r="Q310" s="186">
        <v>2632.7993999999999</v>
      </c>
      <c r="R310" s="183">
        <v>0.4</v>
      </c>
      <c r="S310" s="185">
        <v>-279.60000000000002</v>
      </c>
      <c r="T310" s="185">
        <v>773.51976000000002</v>
      </c>
      <c r="U310" s="185">
        <v>262.77994000000001</v>
      </c>
      <c r="V310" s="187">
        <v>787.16976</v>
      </c>
      <c r="X310" s="185">
        <v>3000</v>
      </c>
      <c r="Y310" s="185">
        <v>1791.4996999999998</v>
      </c>
      <c r="Z310" s="183">
        <v>0.59716656666666657</v>
      </c>
      <c r="AA310" s="185">
        <v>172.20060000000001</v>
      </c>
      <c r="AB310" s="185">
        <v>773.51976000000002</v>
      </c>
      <c r="AC310" s="185">
        <v>262.77994000000001</v>
      </c>
      <c r="AD310" s="185">
        <v>3000</v>
      </c>
      <c r="AE310" s="186">
        <v>10</v>
      </c>
      <c r="AF310" s="183">
        <v>0.2</v>
      </c>
      <c r="AG310" s="186">
        <v>20</v>
      </c>
      <c r="AH310" s="183">
        <v>0.2</v>
      </c>
    </row>
    <row r="311" spans="3:34" x14ac:dyDescent="0.25">
      <c r="C311" s="181">
        <v>3010</v>
      </c>
      <c r="D311" s="183">
        <v>0</v>
      </c>
      <c r="E311" s="185">
        <v>195</v>
      </c>
      <c r="F311" s="181">
        <v>195</v>
      </c>
      <c r="G311" s="185">
        <v>2815</v>
      </c>
      <c r="H311" s="185">
        <v>85.818599999999989</v>
      </c>
      <c r="I311" s="185">
        <v>71.37</v>
      </c>
      <c r="J311" s="185">
        <v>15.011999999999999</v>
      </c>
      <c r="K311" s="181">
        <v>0</v>
      </c>
      <c r="P311" s="186">
        <v>172.20060000000001</v>
      </c>
      <c r="Q311" s="186">
        <v>2642.7993999999999</v>
      </c>
      <c r="R311" s="183">
        <v>0.4</v>
      </c>
      <c r="S311" s="185">
        <v>-279.60000000000002</v>
      </c>
      <c r="T311" s="185">
        <v>777.51976000000002</v>
      </c>
      <c r="U311" s="185">
        <v>263.77994000000001</v>
      </c>
      <c r="V311" s="187">
        <v>791.16976</v>
      </c>
      <c r="X311" s="185">
        <v>3010</v>
      </c>
      <c r="Y311" s="185">
        <v>1796.4996999999998</v>
      </c>
      <c r="Z311" s="183">
        <v>0.59684375415282387</v>
      </c>
      <c r="AA311" s="185">
        <v>172.20060000000001</v>
      </c>
      <c r="AB311" s="185">
        <v>777.51976000000002</v>
      </c>
      <c r="AC311" s="185">
        <v>263.77994000000001</v>
      </c>
      <c r="AD311" s="185">
        <v>3010</v>
      </c>
      <c r="AE311" s="186">
        <v>10</v>
      </c>
      <c r="AF311" s="183">
        <v>0.2</v>
      </c>
      <c r="AG311" s="186">
        <v>20</v>
      </c>
      <c r="AH311" s="183">
        <v>0.2</v>
      </c>
    </row>
    <row r="312" spans="3:34" x14ac:dyDescent="0.25">
      <c r="C312" s="181">
        <v>3020</v>
      </c>
      <c r="D312" s="183">
        <v>0</v>
      </c>
      <c r="E312" s="185">
        <v>195</v>
      </c>
      <c r="F312" s="181">
        <v>195</v>
      </c>
      <c r="G312" s="185">
        <v>2825</v>
      </c>
      <c r="H312" s="185">
        <v>85.818599999999989</v>
      </c>
      <c r="I312" s="185">
        <v>71.37</v>
      </c>
      <c r="J312" s="185">
        <v>15.011999999999999</v>
      </c>
      <c r="K312" s="181">
        <v>0</v>
      </c>
      <c r="P312" s="186">
        <v>172.20060000000001</v>
      </c>
      <c r="Q312" s="186">
        <v>2652.7993999999999</v>
      </c>
      <c r="R312" s="183">
        <v>0.4</v>
      </c>
      <c r="S312" s="185">
        <v>-279.60000000000002</v>
      </c>
      <c r="T312" s="185">
        <v>781.51976000000002</v>
      </c>
      <c r="U312" s="185">
        <v>264.77994000000001</v>
      </c>
      <c r="V312" s="187">
        <v>795.16976</v>
      </c>
      <c r="X312" s="185">
        <v>3020</v>
      </c>
      <c r="Y312" s="185">
        <v>1801.4996999999998</v>
      </c>
      <c r="Z312" s="183">
        <v>0.59652307947019867</v>
      </c>
      <c r="AA312" s="185">
        <v>172.20060000000001</v>
      </c>
      <c r="AB312" s="185">
        <v>781.51976000000002</v>
      </c>
      <c r="AC312" s="185">
        <v>264.77994000000001</v>
      </c>
      <c r="AD312" s="185">
        <v>3020</v>
      </c>
      <c r="AE312" s="186">
        <v>10</v>
      </c>
      <c r="AF312" s="183">
        <v>0.2</v>
      </c>
      <c r="AG312" s="186">
        <v>20</v>
      </c>
      <c r="AH312" s="183">
        <v>0.2</v>
      </c>
    </row>
    <row r="313" spans="3:34" x14ac:dyDescent="0.25">
      <c r="C313" s="181">
        <v>3030</v>
      </c>
      <c r="D313" s="183">
        <v>0</v>
      </c>
      <c r="E313" s="185">
        <v>195</v>
      </c>
      <c r="F313" s="181">
        <v>195</v>
      </c>
      <c r="G313" s="185">
        <v>2835</v>
      </c>
      <c r="H313" s="185">
        <v>85.818599999999989</v>
      </c>
      <c r="I313" s="185">
        <v>71.37</v>
      </c>
      <c r="J313" s="185">
        <v>15.011999999999999</v>
      </c>
      <c r="K313" s="181">
        <v>0</v>
      </c>
      <c r="P313" s="186">
        <v>172.20060000000001</v>
      </c>
      <c r="Q313" s="186">
        <v>2662.7993999999999</v>
      </c>
      <c r="R313" s="183">
        <v>0.4</v>
      </c>
      <c r="S313" s="185">
        <v>-279.60000000000002</v>
      </c>
      <c r="T313" s="185">
        <v>785.51976000000002</v>
      </c>
      <c r="U313" s="185">
        <v>265.77994000000001</v>
      </c>
      <c r="V313" s="187">
        <v>799.16976</v>
      </c>
      <c r="X313" s="185">
        <v>3030</v>
      </c>
      <c r="Y313" s="185">
        <v>1806.4996999999998</v>
      </c>
      <c r="Z313" s="183">
        <v>0.5962045214521452</v>
      </c>
      <c r="AA313" s="185">
        <v>172.20060000000001</v>
      </c>
      <c r="AB313" s="185">
        <v>785.51976000000002</v>
      </c>
      <c r="AC313" s="185">
        <v>265.77994000000001</v>
      </c>
      <c r="AD313" s="185">
        <v>3030</v>
      </c>
      <c r="AE313" s="186">
        <v>10</v>
      </c>
      <c r="AF313" s="183">
        <v>0.2</v>
      </c>
      <c r="AG313" s="186">
        <v>20</v>
      </c>
      <c r="AH313" s="183">
        <v>0.2</v>
      </c>
    </row>
    <row r="314" spans="3:34" x14ac:dyDescent="0.25">
      <c r="C314" s="181">
        <v>3040</v>
      </c>
      <c r="D314" s="183">
        <v>0</v>
      </c>
      <c r="E314" s="185">
        <v>195</v>
      </c>
      <c r="F314" s="181">
        <v>195</v>
      </c>
      <c r="G314" s="185">
        <v>2845</v>
      </c>
      <c r="H314" s="185">
        <v>85.818599999999989</v>
      </c>
      <c r="I314" s="185">
        <v>71.37</v>
      </c>
      <c r="J314" s="185">
        <v>15.011999999999999</v>
      </c>
      <c r="K314" s="181">
        <v>0</v>
      </c>
      <c r="P314" s="186">
        <v>172.20060000000001</v>
      </c>
      <c r="Q314" s="186">
        <v>2672.7993999999999</v>
      </c>
      <c r="R314" s="183">
        <v>0.4</v>
      </c>
      <c r="S314" s="185">
        <v>-279.60000000000002</v>
      </c>
      <c r="T314" s="185">
        <v>789.51976000000002</v>
      </c>
      <c r="U314" s="185">
        <v>266.77994000000001</v>
      </c>
      <c r="V314" s="187">
        <v>803.16976</v>
      </c>
      <c r="X314" s="185">
        <v>3040</v>
      </c>
      <c r="Y314" s="185">
        <v>1811.4996999999998</v>
      </c>
      <c r="Z314" s="183">
        <v>0.59588805921052623</v>
      </c>
      <c r="AA314" s="185">
        <v>172.20060000000001</v>
      </c>
      <c r="AB314" s="185">
        <v>789.51976000000002</v>
      </c>
      <c r="AC314" s="185">
        <v>266.77994000000001</v>
      </c>
      <c r="AD314" s="185">
        <v>3040</v>
      </c>
      <c r="AE314" s="186">
        <v>10</v>
      </c>
      <c r="AF314" s="183">
        <v>0.2</v>
      </c>
      <c r="AG314" s="186">
        <v>20</v>
      </c>
      <c r="AH314" s="183">
        <v>0.2</v>
      </c>
    </row>
    <row r="315" spans="3:34" x14ac:dyDescent="0.25">
      <c r="C315" s="181">
        <v>3050</v>
      </c>
      <c r="D315" s="183">
        <v>0</v>
      </c>
      <c r="E315" s="185">
        <v>195</v>
      </c>
      <c r="F315" s="181">
        <v>195</v>
      </c>
      <c r="G315" s="185">
        <v>2855</v>
      </c>
      <c r="H315" s="185">
        <v>85.818599999999989</v>
      </c>
      <c r="I315" s="185">
        <v>71.37</v>
      </c>
      <c r="J315" s="185">
        <v>15.011999999999999</v>
      </c>
      <c r="K315" s="181">
        <v>0</v>
      </c>
      <c r="P315" s="186">
        <v>172.20060000000001</v>
      </c>
      <c r="Q315" s="186">
        <v>2682.7993999999999</v>
      </c>
      <c r="R315" s="183">
        <v>0.4</v>
      </c>
      <c r="S315" s="185">
        <v>-279.60000000000002</v>
      </c>
      <c r="T315" s="185">
        <v>793.51976000000002</v>
      </c>
      <c r="U315" s="185">
        <v>267.77994000000001</v>
      </c>
      <c r="V315" s="187">
        <v>807.16976</v>
      </c>
      <c r="X315" s="185">
        <v>3050</v>
      </c>
      <c r="Y315" s="185">
        <v>1816.4996999999998</v>
      </c>
      <c r="Z315" s="183">
        <v>0.59557367213114754</v>
      </c>
      <c r="AA315" s="185">
        <v>172.20060000000001</v>
      </c>
      <c r="AB315" s="185">
        <v>793.51976000000002</v>
      </c>
      <c r="AC315" s="185">
        <v>267.77994000000001</v>
      </c>
      <c r="AD315" s="185">
        <v>3050</v>
      </c>
      <c r="AE315" s="186">
        <v>10</v>
      </c>
      <c r="AF315" s="183">
        <v>0.2</v>
      </c>
      <c r="AG315" s="186">
        <v>20</v>
      </c>
      <c r="AH315" s="183">
        <v>0.2</v>
      </c>
    </row>
    <row r="316" spans="3:34" x14ac:dyDescent="0.25">
      <c r="C316" s="181">
        <v>3060</v>
      </c>
      <c r="D316" s="183">
        <v>0</v>
      </c>
      <c r="E316" s="185">
        <v>195</v>
      </c>
      <c r="F316" s="181">
        <v>195</v>
      </c>
      <c r="G316" s="185">
        <v>2865</v>
      </c>
      <c r="H316" s="185">
        <v>85.818599999999989</v>
      </c>
      <c r="I316" s="185">
        <v>71.37</v>
      </c>
      <c r="J316" s="185">
        <v>15.011999999999999</v>
      </c>
      <c r="K316" s="181">
        <v>0</v>
      </c>
      <c r="P316" s="186">
        <v>172.20060000000001</v>
      </c>
      <c r="Q316" s="186">
        <v>2692.7993999999999</v>
      </c>
      <c r="R316" s="183">
        <v>0.4</v>
      </c>
      <c r="S316" s="185">
        <v>-279.60000000000002</v>
      </c>
      <c r="T316" s="185">
        <v>797.51976000000002</v>
      </c>
      <c r="U316" s="185">
        <v>268.77994000000001</v>
      </c>
      <c r="V316" s="187">
        <v>811.16976</v>
      </c>
      <c r="X316" s="185">
        <v>3060</v>
      </c>
      <c r="Y316" s="185">
        <v>1821.4996999999998</v>
      </c>
      <c r="Z316" s="183">
        <v>0.59526133986928098</v>
      </c>
      <c r="AA316" s="185">
        <v>172.20060000000001</v>
      </c>
      <c r="AB316" s="185">
        <v>797.51976000000002</v>
      </c>
      <c r="AC316" s="185">
        <v>268.77994000000001</v>
      </c>
      <c r="AD316" s="185">
        <v>3060</v>
      </c>
      <c r="AE316" s="186">
        <v>10</v>
      </c>
      <c r="AF316" s="183">
        <v>0.2</v>
      </c>
      <c r="AG316" s="186">
        <v>20</v>
      </c>
      <c r="AH316" s="183">
        <v>0.2</v>
      </c>
    </row>
    <row r="317" spans="3:34" x14ac:dyDescent="0.25">
      <c r="C317" s="181">
        <v>3070</v>
      </c>
      <c r="D317" s="183">
        <v>0</v>
      </c>
      <c r="E317" s="185">
        <v>195</v>
      </c>
      <c r="F317" s="181">
        <v>195</v>
      </c>
      <c r="G317" s="185">
        <v>2875</v>
      </c>
      <c r="H317" s="185">
        <v>85.818599999999989</v>
      </c>
      <c r="I317" s="185">
        <v>71.37</v>
      </c>
      <c r="J317" s="185">
        <v>15.011999999999999</v>
      </c>
      <c r="K317" s="181">
        <v>0</v>
      </c>
      <c r="P317" s="186">
        <v>172.20060000000001</v>
      </c>
      <c r="Q317" s="186">
        <v>2702.7993999999999</v>
      </c>
      <c r="R317" s="183">
        <v>0.4</v>
      </c>
      <c r="S317" s="185">
        <v>-279.60000000000002</v>
      </c>
      <c r="T317" s="185">
        <v>801.51976000000002</v>
      </c>
      <c r="U317" s="185">
        <v>269.77994000000001</v>
      </c>
      <c r="V317" s="187">
        <v>815.16976</v>
      </c>
      <c r="X317" s="185">
        <v>3070</v>
      </c>
      <c r="Y317" s="185">
        <v>1826.4996999999998</v>
      </c>
      <c r="Z317" s="183">
        <v>0.59495104234527685</v>
      </c>
      <c r="AA317" s="185">
        <v>172.20060000000001</v>
      </c>
      <c r="AB317" s="185">
        <v>801.51976000000002</v>
      </c>
      <c r="AC317" s="185">
        <v>269.77994000000001</v>
      </c>
      <c r="AD317" s="185">
        <v>3070</v>
      </c>
      <c r="AE317" s="186">
        <v>10</v>
      </c>
      <c r="AF317" s="183">
        <v>0.2</v>
      </c>
      <c r="AG317" s="186">
        <v>20</v>
      </c>
      <c r="AH317" s="183">
        <v>0.2</v>
      </c>
    </row>
    <row r="318" spans="3:34" x14ac:dyDescent="0.25">
      <c r="C318" s="181">
        <v>3080</v>
      </c>
      <c r="D318" s="183">
        <v>0</v>
      </c>
      <c r="E318" s="185">
        <v>195</v>
      </c>
      <c r="F318" s="181">
        <v>195</v>
      </c>
      <c r="G318" s="185">
        <v>2885</v>
      </c>
      <c r="H318" s="185">
        <v>85.818599999999989</v>
      </c>
      <c r="I318" s="185">
        <v>71.37</v>
      </c>
      <c r="J318" s="185">
        <v>15.011999999999999</v>
      </c>
      <c r="K318" s="181">
        <v>0</v>
      </c>
      <c r="P318" s="186">
        <v>172.20060000000001</v>
      </c>
      <c r="Q318" s="186">
        <v>2712.7993999999999</v>
      </c>
      <c r="R318" s="183">
        <v>0.4</v>
      </c>
      <c r="S318" s="185">
        <v>-279.60000000000002</v>
      </c>
      <c r="T318" s="185">
        <v>805.51976000000002</v>
      </c>
      <c r="U318" s="185">
        <v>270.77994000000001</v>
      </c>
      <c r="V318" s="187">
        <v>819.16976</v>
      </c>
      <c r="X318" s="185">
        <v>3080</v>
      </c>
      <c r="Y318" s="185">
        <v>1831.4996999999998</v>
      </c>
      <c r="Z318" s="183">
        <v>0.59464275974025971</v>
      </c>
      <c r="AA318" s="185">
        <v>172.20060000000001</v>
      </c>
      <c r="AB318" s="185">
        <v>805.51976000000002</v>
      </c>
      <c r="AC318" s="185">
        <v>270.77994000000001</v>
      </c>
      <c r="AD318" s="185">
        <v>3080</v>
      </c>
      <c r="AE318" s="186">
        <v>10</v>
      </c>
      <c r="AF318" s="183">
        <v>0.2</v>
      </c>
      <c r="AG318" s="186">
        <v>20</v>
      </c>
      <c r="AH318" s="183">
        <v>0.2</v>
      </c>
    </row>
    <row r="319" spans="3:34" x14ac:dyDescent="0.25">
      <c r="C319" s="181">
        <v>3090</v>
      </c>
      <c r="D319" s="183">
        <v>0</v>
      </c>
      <c r="E319" s="185">
        <v>195</v>
      </c>
      <c r="F319" s="181">
        <v>195</v>
      </c>
      <c r="G319" s="185">
        <v>2895</v>
      </c>
      <c r="H319" s="185">
        <v>85.818599999999989</v>
      </c>
      <c r="I319" s="185">
        <v>71.37</v>
      </c>
      <c r="J319" s="185">
        <v>15.011999999999999</v>
      </c>
      <c r="K319" s="181">
        <v>0</v>
      </c>
      <c r="P319" s="186">
        <v>172.20060000000001</v>
      </c>
      <c r="Q319" s="186">
        <v>2722.7993999999999</v>
      </c>
      <c r="R319" s="183">
        <v>0.4</v>
      </c>
      <c r="S319" s="185">
        <v>-279.60000000000002</v>
      </c>
      <c r="T319" s="185">
        <v>809.51976000000002</v>
      </c>
      <c r="U319" s="185">
        <v>271.77994000000001</v>
      </c>
      <c r="V319" s="187">
        <v>823.16976</v>
      </c>
      <c r="X319" s="185">
        <v>3090</v>
      </c>
      <c r="Y319" s="185">
        <v>1836.4996999999998</v>
      </c>
      <c r="Z319" s="183">
        <v>0.59433647249190935</v>
      </c>
      <c r="AA319" s="185">
        <v>172.20060000000001</v>
      </c>
      <c r="AB319" s="185">
        <v>809.51976000000002</v>
      </c>
      <c r="AC319" s="185">
        <v>271.77994000000001</v>
      </c>
      <c r="AD319" s="185">
        <v>3090</v>
      </c>
      <c r="AE319" s="186">
        <v>10</v>
      </c>
      <c r="AF319" s="183">
        <v>0.2</v>
      </c>
      <c r="AG319" s="186">
        <v>20</v>
      </c>
      <c r="AH319" s="183">
        <v>0.2</v>
      </c>
    </row>
    <row r="320" spans="3:34" x14ac:dyDescent="0.25">
      <c r="C320" s="181">
        <v>3100</v>
      </c>
      <c r="D320" s="183">
        <v>0</v>
      </c>
      <c r="E320" s="185">
        <v>195</v>
      </c>
      <c r="F320" s="181">
        <v>195</v>
      </c>
      <c r="G320" s="185">
        <v>2905</v>
      </c>
      <c r="H320" s="185">
        <v>85.818599999999989</v>
      </c>
      <c r="I320" s="185">
        <v>71.37</v>
      </c>
      <c r="J320" s="185">
        <v>15.011999999999999</v>
      </c>
      <c r="K320" s="181">
        <v>0</v>
      </c>
      <c r="P320" s="186">
        <v>172.20060000000001</v>
      </c>
      <c r="Q320" s="186">
        <v>2732.7993999999999</v>
      </c>
      <c r="R320" s="183">
        <v>0.4</v>
      </c>
      <c r="S320" s="185">
        <v>-279.60000000000002</v>
      </c>
      <c r="T320" s="185">
        <v>813.51976000000002</v>
      </c>
      <c r="U320" s="185">
        <v>272.77994000000001</v>
      </c>
      <c r="V320" s="187">
        <v>827.16976</v>
      </c>
      <c r="X320" s="185">
        <v>3100</v>
      </c>
      <c r="Y320" s="185">
        <v>1841.4996999999998</v>
      </c>
      <c r="Z320" s="183">
        <v>0.59403216129032255</v>
      </c>
      <c r="AA320" s="185">
        <v>172.20060000000001</v>
      </c>
      <c r="AB320" s="185">
        <v>813.51976000000002</v>
      </c>
      <c r="AC320" s="185">
        <v>272.77994000000001</v>
      </c>
      <c r="AD320" s="185">
        <v>3100</v>
      </c>
      <c r="AE320" s="186">
        <v>10</v>
      </c>
      <c r="AF320" s="183">
        <v>0.2</v>
      </c>
      <c r="AG320" s="186">
        <v>20</v>
      </c>
      <c r="AH320" s="183">
        <v>0.2</v>
      </c>
    </row>
    <row r="321" spans="3:34" x14ac:dyDescent="0.25">
      <c r="C321" s="181">
        <v>3110</v>
      </c>
      <c r="D321" s="183">
        <v>0</v>
      </c>
      <c r="E321" s="185">
        <v>195</v>
      </c>
      <c r="F321" s="181">
        <v>195</v>
      </c>
      <c r="G321" s="185">
        <v>2915</v>
      </c>
      <c r="H321" s="185">
        <v>85.818599999999989</v>
      </c>
      <c r="I321" s="185">
        <v>71.37</v>
      </c>
      <c r="J321" s="185">
        <v>15.011999999999999</v>
      </c>
      <c r="K321" s="181">
        <v>0</v>
      </c>
      <c r="P321" s="186">
        <v>172.20060000000001</v>
      </c>
      <c r="Q321" s="186">
        <v>2742.7993999999999</v>
      </c>
      <c r="R321" s="183">
        <v>0.4</v>
      </c>
      <c r="S321" s="185">
        <v>-279.60000000000002</v>
      </c>
      <c r="T321" s="185">
        <v>817.51976000000002</v>
      </c>
      <c r="U321" s="185">
        <v>273.77994000000001</v>
      </c>
      <c r="V321" s="187">
        <v>831.16976</v>
      </c>
      <c r="X321" s="185">
        <v>3110</v>
      </c>
      <c r="Y321" s="185">
        <v>1846.4996999999998</v>
      </c>
      <c r="Z321" s="183">
        <v>0.59372980707395495</v>
      </c>
      <c r="AA321" s="185">
        <v>172.20060000000001</v>
      </c>
      <c r="AB321" s="185">
        <v>817.51976000000002</v>
      </c>
      <c r="AC321" s="185">
        <v>273.77994000000001</v>
      </c>
      <c r="AD321" s="185">
        <v>3110</v>
      </c>
      <c r="AE321" s="186">
        <v>10</v>
      </c>
      <c r="AF321" s="183">
        <v>0.2</v>
      </c>
      <c r="AG321" s="186">
        <v>20</v>
      </c>
      <c r="AH321" s="183">
        <v>0.2</v>
      </c>
    </row>
    <row r="322" spans="3:34" x14ac:dyDescent="0.25">
      <c r="C322" s="181">
        <v>3120</v>
      </c>
      <c r="D322" s="183">
        <v>0</v>
      </c>
      <c r="E322" s="185">
        <v>195</v>
      </c>
      <c r="F322" s="181">
        <v>195</v>
      </c>
      <c r="G322" s="185">
        <v>2925</v>
      </c>
      <c r="H322" s="185">
        <v>85.818599999999989</v>
      </c>
      <c r="I322" s="185">
        <v>71.37</v>
      </c>
      <c r="J322" s="185">
        <v>15.011999999999999</v>
      </c>
      <c r="K322" s="181">
        <v>0</v>
      </c>
      <c r="P322" s="186">
        <v>172.20060000000001</v>
      </c>
      <c r="Q322" s="186">
        <v>2752.7993999999999</v>
      </c>
      <c r="R322" s="183">
        <v>0.4</v>
      </c>
      <c r="S322" s="185">
        <v>-279.60000000000002</v>
      </c>
      <c r="T322" s="185">
        <v>821.51976000000002</v>
      </c>
      <c r="U322" s="185">
        <v>274.77994000000001</v>
      </c>
      <c r="V322" s="187">
        <v>835.16976</v>
      </c>
      <c r="X322" s="185">
        <v>3120</v>
      </c>
      <c r="Y322" s="185">
        <v>1851.4996999999998</v>
      </c>
      <c r="Z322" s="183">
        <v>0.59342939102564096</v>
      </c>
      <c r="AA322" s="185">
        <v>172.20060000000001</v>
      </c>
      <c r="AB322" s="185">
        <v>821.51976000000002</v>
      </c>
      <c r="AC322" s="185">
        <v>274.77994000000001</v>
      </c>
      <c r="AD322" s="185">
        <v>3120</v>
      </c>
      <c r="AE322" s="186">
        <v>10</v>
      </c>
      <c r="AF322" s="183">
        <v>0.2</v>
      </c>
      <c r="AG322" s="186">
        <v>20</v>
      </c>
      <c r="AH322" s="183">
        <v>0.2</v>
      </c>
    </row>
    <row r="323" spans="3:34" x14ac:dyDescent="0.25">
      <c r="C323" s="181">
        <v>3130</v>
      </c>
      <c r="D323" s="183">
        <v>0</v>
      </c>
      <c r="E323" s="185">
        <v>195</v>
      </c>
      <c r="F323" s="181">
        <v>195</v>
      </c>
      <c r="G323" s="185">
        <v>2935</v>
      </c>
      <c r="H323" s="185">
        <v>85.818599999999989</v>
      </c>
      <c r="I323" s="185">
        <v>71.37</v>
      </c>
      <c r="J323" s="185">
        <v>15.011999999999999</v>
      </c>
      <c r="K323" s="181">
        <v>0</v>
      </c>
      <c r="P323" s="186">
        <v>172.20060000000001</v>
      </c>
      <c r="Q323" s="186">
        <v>2762.7993999999999</v>
      </c>
      <c r="R323" s="183">
        <v>0.4</v>
      </c>
      <c r="S323" s="185">
        <v>-279.60000000000002</v>
      </c>
      <c r="T323" s="185">
        <v>825.51976000000002</v>
      </c>
      <c r="U323" s="185">
        <v>275.77994000000001</v>
      </c>
      <c r="V323" s="187">
        <v>839.16976</v>
      </c>
      <c r="X323" s="185">
        <v>3130</v>
      </c>
      <c r="Y323" s="185">
        <v>1856.4996999999998</v>
      </c>
      <c r="Z323" s="183">
        <v>0.59313089456869006</v>
      </c>
      <c r="AA323" s="185">
        <v>172.20060000000001</v>
      </c>
      <c r="AB323" s="185">
        <v>825.51976000000002</v>
      </c>
      <c r="AC323" s="185">
        <v>275.77994000000001</v>
      </c>
      <c r="AD323" s="185">
        <v>3130</v>
      </c>
      <c r="AE323" s="186">
        <v>10</v>
      </c>
      <c r="AF323" s="183">
        <v>0.2</v>
      </c>
      <c r="AG323" s="186">
        <v>20</v>
      </c>
      <c r="AH323" s="183">
        <v>0.2</v>
      </c>
    </row>
    <row r="324" spans="3:34" x14ac:dyDescent="0.25">
      <c r="C324" s="181">
        <v>3140</v>
      </c>
      <c r="D324" s="183">
        <v>0</v>
      </c>
      <c r="E324" s="185">
        <v>195</v>
      </c>
      <c r="F324" s="181">
        <v>195</v>
      </c>
      <c r="G324" s="185">
        <v>2945</v>
      </c>
      <c r="H324" s="185">
        <v>85.818599999999989</v>
      </c>
      <c r="I324" s="185">
        <v>71.37</v>
      </c>
      <c r="J324" s="185">
        <v>15.011999999999999</v>
      </c>
      <c r="K324" s="181">
        <v>0</v>
      </c>
      <c r="P324" s="186">
        <v>172.20060000000001</v>
      </c>
      <c r="Q324" s="186">
        <v>2772.7993999999999</v>
      </c>
      <c r="R324" s="183">
        <v>0.4</v>
      </c>
      <c r="S324" s="185">
        <v>-279.60000000000002</v>
      </c>
      <c r="T324" s="185">
        <v>829.51976000000002</v>
      </c>
      <c r="U324" s="185">
        <v>276.77994000000001</v>
      </c>
      <c r="V324" s="187">
        <v>843.16976</v>
      </c>
      <c r="X324" s="185">
        <v>3140</v>
      </c>
      <c r="Y324" s="185">
        <v>1861.4996999999998</v>
      </c>
      <c r="Z324" s="183">
        <v>0.59283429936305732</v>
      </c>
      <c r="AA324" s="185">
        <v>172.20060000000001</v>
      </c>
      <c r="AB324" s="185">
        <v>829.51976000000002</v>
      </c>
      <c r="AC324" s="185">
        <v>276.77994000000001</v>
      </c>
      <c r="AD324" s="185">
        <v>3140</v>
      </c>
      <c r="AE324" s="186">
        <v>10</v>
      </c>
      <c r="AF324" s="183">
        <v>0.2</v>
      </c>
      <c r="AG324" s="186">
        <v>20</v>
      </c>
      <c r="AH324" s="183">
        <v>0.2</v>
      </c>
    </row>
    <row r="325" spans="3:34" x14ac:dyDescent="0.25">
      <c r="C325" s="181">
        <v>3150</v>
      </c>
      <c r="D325" s="183">
        <v>0</v>
      </c>
      <c r="E325" s="185">
        <v>195</v>
      </c>
      <c r="F325" s="181">
        <v>195</v>
      </c>
      <c r="G325" s="185">
        <v>2955</v>
      </c>
      <c r="H325" s="185">
        <v>85.818599999999989</v>
      </c>
      <c r="I325" s="185">
        <v>71.37</v>
      </c>
      <c r="J325" s="185">
        <v>15.011999999999999</v>
      </c>
      <c r="K325" s="181">
        <v>0</v>
      </c>
      <c r="P325" s="186">
        <v>172.20060000000001</v>
      </c>
      <c r="Q325" s="186">
        <v>2782.7993999999999</v>
      </c>
      <c r="R325" s="183">
        <v>0.4</v>
      </c>
      <c r="S325" s="185">
        <v>-279.60000000000002</v>
      </c>
      <c r="T325" s="185">
        <v>833.51976000000002</v>
      </c>
      <c r="U325" s="185">
        <v>277.77994000000001</v>
      </c>
      <c r="V325" s="187">
        <v>847.16976</v>
      </c>
      <c r="X325" s="185">
        <v>3150</v>
      </c>
      <c r="Y325" s="185">
        <v>1866.4996999999998</v>
      </c>
      <c r="Z325" s="183">
        <v>0.59253958730158729</v>
      </c>
      <c r="AA325" s="185">
        <v>172.20060000000001</v>
      </c>
      <c r="AB325" s="185">
        <v>833.51976000000002</v>
      </c>
      <c r="AC325" s="185">
        <v>277.77994000000001</v>
      </c>
      <c r="AD325" s="185">
        <v>3150</v>
      </c>
      <c r="AE325" s="186">
        <v>10</v>
      </c>
      <c r="AF325" s="183">
        <v>0.2</v>
      </c>
      <c r="AG325" s="186">
        <v>20</v>
      </c>
      <c r="AH325" s="183">
        <v>0.2</v>
      </c>
    </row>
    <row r="326" spans="3:34" x14ac:dyDescent="0.25">
      <c r="C326" s="181">
        <v>3160</v>
      </c>
      <c r="D326" s="183">
        <v>0</v>
      </c>
      <c r="E326" s="185">
        <v>195</v>
      </c>
      <c r="F326" s="181">
        <v>195</v>
      </c>
      <c r="G326" s="185">
        <v>2965</v>
      </c>
      <c r="H326" s="185">
        <v>85.818599999999989</v>
      </c>
      <c r="I326" s="185">
        <v>71.37</v>
      </c>
      <c r="J326" s="185">
        <v>15.011999999999999</v>
      </c>
      <c r="K326" s="181">
        <v>0</v>
      </c>
      <c r="P326" s="186">
        <v>172.20060000000001</v>
      </c>
      <c r="Q326" s="186">
        <v>2792.7993999999999</v>
      </c>
      <c r="R326" s="183">
        <v>0.4</v>
      </c>
      <c r="S326" s="185">
        <v>-279.60000000000002</v>
      </c>
      <c r="T326" s="185">
        <v>837.51976000000002</v>
      </c>
      <c r="U326" s="185">
        <v>278.77994000000001</v>
      </c>
      <c r="V326" s="187">
        <v>851.16976</v>
      </c>
      <c r="X326" s="185">
        <v>3160</v>
      </c>
      <c r="Y326" s="185">
        <v>1871.4996999999998</v>
      </c>
      <c r="Z326" s="183">
        <v>0.59224674050632908</v>
      </c>
      <c r="AA326" s="185">
        <v>172.20060000000001</v>
      </c>
      <c r="AB326" s="185">
        <v>837.51976000000002</v>
      </c>
      <c r="AC326" s="185">
        <v>278.77994000000001</v>
      </c>
      <c r="AD326" s="185">
        <v>3160</v>
      </c>
      <c r="AE326" s="186">
        <v>10</v>
      </c>
      <c r="AF326" s="183">
        <v>0.2</v>
      </c>
      <c r="AG326" s="186">
        <v>20</v>
      </c>
      <c r="AH326" s="183">
        <v>0.2</v>
      </c>
    </row>
    <row r="327" spans="3:34" x14ac:dyDescent="0.25">
      <c r="C327" s="181">
        <v>3170</v>
      </c>
      <c r="D327" s="183">
        <v>0</v>
      </c>
      <c r="E327" s="185">
        <v>195</v>
      </c>
      <c r="F327" s="181">
        <v>195</v>
      </c>
      <c r="G327" s="185">
        <v>2975</v>
      </c>
      <c r="H327" s="185">
        <v>85.818599999999989</v>
      </c>
      <c r="I327" s="185">
        <v>71.37</v>
      </c>
      <c r="J327" s="185">
        <v>15.011999999999999</v>
      </c>
      <c r="K327" s="181">
        <v>0</v>
      </c>
      <c r="P327" s="186">
        <v>172.20060000000001</v>
      </c>
      <c r="Q327" s="186">
        <v>2802.7993999999999</v>
      </c>
      <c r="R327" s="183">
        <v>0.4</v>
      </c>
      <c r="S327" s="185">
        <v>-279.60000000000002</v>
      </c>
      <c r="T327" s="185">
        <v>841.51976000000002</v>
      </c>
      <c r="U327" s="185">
        <v>279.77994000000001</v>
      </c>
      <c r="V327" s="187">
        <v>855.16976</v>
      </c>
      <c r="X327" s="185">
        <v>3170</v>
      </c>
      <c r="Y327" s="185">
        <v>1876.4996999999998</v>
      </c>
      <c r="Z327" s="183">
        <v>0.59195574132492113</v>
      </c>
      <c r="AA327" s="185">
        <v>172.20060000000001</v>
      </c>
      <c r="AB327" s="185">
        <v>841.51976000000002</v>
      </c>
      <c r="AC327" s="185">
        <v>279.77994000000001</v>
      </c>
      <c r="AD327" s="185">
        <v>3170</v>
      </c>
      <c r="AE327" s="186">
        <v>10</v>
      </c>
      <c r="AF327" s="183">
        <v>0.2</v>
      </c>
      <c r="AG327" s="186">
        <v>20</v>
      </c>
      <c r="AH327" s="183">
        <v>0.2</v>
      </c>
    </row>
    <row r="328" spans="3:34" x14ac:dyDescent="0.25">
      <c r="C328" s="181">
        <v>3180</v>
      </c>
      <c r="D328" s="183">
        <v>0</v>
      </c>
      <c r="E328" s="185">
        <v>195</v>
      </c>
      <c r="F328" s="181">
        <v>195</v>
      </c>
      <c r="G328" s="185">
        <v>2985</v>
      </c>
      <c r="H328" s="185">
        <v>85.818599999999989</v>
      </c>
      <c r="I328" s="185">
        <v>71.37</v>
      </c>
      <c r="J328" s="185">
        <v>15.011999999999999</v>
      </c>
      <c r="K328" s="181">
        <v>0</v>
      </c>
      <c r="P328" s="186">
        <v>172.20060000000001</v>
      </c>
      <c r="Q328" s="186">
        <v>2812.7993999999999</v>
      </c>
      <c r="R328" s="183">
        <v>0.4</v>
      </c>
      <c r="S328" s="185">
        <v>-279.60000000000002</v>
      </c>
      <c r="T328" s="185">
        <v>845.51976000000002</v>
      </c>
      <c r="U328" s="185">
        <v>280.77994000000001</v>
      </c>
      <c r="V328" s="187">
        <v>859.16976</v>
      </c>
      <c r="X328" s="185">
        <v>3180</v>
      </c>
      <c r="Y328" s="185">
        <v>1881.4996999999998</v>
      </c>
      <c r="Z328" s="183">
        <v>0.591666572327044</v>
      </c>
      <c r="AA328" s="185">
        <v>172.20060000000001</v>
      </c>
      <c r="AB328" s="185">
        <v>845.51976000000002</v>
      </c>
      <c r="AC328" s="185">
        <v>280.77994000000001</v>
      </c>
      <c r="AD328" s="185">
        <v>3180</v>
      </c>
      <c r="AE328" s="186">
        <v>10</v>
      </c>
      <c r="AF328" s="183">
        <v>0.2</v>
      </c>
      <c r="AG328" s="186">
        <v>20</v>
      </c>
      <c r="AH328" s="183">
        <v>0.2</v>
      </c>
    </row>
    <row r="329" spans="3:34" x14ac:dyDescent="0.25">
      <c r="C329" s="181">
        <v>3190</v>
      </c>
      <c r="D329" s="183">
        <v>0</v>
      </c>
      <c r="E329" s="185">
        <v>195</v>
      </c>
      <c r="F329" s="181">
        <v>195</v>
      </c>
      <c r="G329" s="185">
        <v>2995</v>
      </c>
      <c r="H329" s="185">
        <v>85.818599999999989</v>
      </c>
      <c r="I329" s="185">
        <v>71.37</v>
      </c>
      <c r="J329" s="185">
        <v>15.011999999999999</v>
      </c>
      <c r="K329" s="181">
        <v>0</v>
      </c>
      <c r="P329" s="186">
        <v>172.20060000000001</v>
      </c>
      <c r="Q329" s="186">
        <v>2822.7993999999999</v>
      </c>
      <c r="R329" s="183">
        <v>0.4</v>
      </c>
      <c r="S329" s="185">
        <v>-279.60000000000002</v>
      </c>
      <c r="T329" s="185">
        <v>849.51976000000002</v>
      </c>
      <c r="U329" s="185">
        <v>281.77994000000001</v>
      </c>
      <c r="V329" s="187">
        <v>863.16976</v>
      </c>
      <c r="X329" s="185">
        <v>3190</v>
      </c>
      <c r="Y329" s="185">
        <v>1886.4996999999998</v>
      </c>
      <c r="Z329" s="183">
        <v>0.59137921630094037</v>
      </c>
      <c r="AA329" s="185">
        <v>172.20060000000001</v>
      </c>
      <c r="AB329" s="185">
        <v>849.51976000000002</v>
      </c>
      <c r="AC329" s="185">
        <v>281.77994000000001</v>
      </c>
      <c r="AD329" s="185">
        <v>3190</v>
      </c>
      <c r="AE329" s="186">
        <v>10</v>
      </c>
      <c r="AF329" s="183">
        <v>0.2</v>
      </c>
      <c r="AG329" s="186">
        <v>20</v>
      </c>
      <c r="AH329" s="183">
        <v>0.2</v>
      </c>
    </row>
    <row r="330" spans="3:34" x14ac:dyDescent="0.25">
      <c r="C330" s="181">
        <v>3200</v>
      </c>
      <c r="D330" s="183">
        <v>0</v>
      </c>
      <c r="E330" s="185">
        <v>195</v>
      </c>
      <c r="F330" s="181">
        <v>195</v>
      </c>
      <c r="G330" s="185">
        <v>3005</v>
      </c>
      <c r="H330" s="185">
        <v>85.818599999999989</v>
      </c>
      <c r="I330" s="185">
        <v>71.37</v>
      </c>
      <c r="J330" s="185">
        <v>15.011999999999999</v>
      </c>
      <c r="K330" s="181">
        <v>0</v>
      </c>
      <c r="P330" s="186">
        <v>172.20060000000001</v>
      </c>
      <c r="Q330" s="186">
        <v>2832.7993999999999</v>
      </c>
      <c r="R330" s="183">
        <v>0.4</v>
      </c>
      <c r="S330" s="185">
        <v>-279.60000000000002</v>
      </c>
      <c r="T330" s="185">
        <v>853.51976000000002</v>
      </c>
      <c r="U330" s="185">
        <v>282.77994000000001</v>
      </c>
      <c r="V330" s="187">
        <v>867.16976</v>
      </c>
      <c r="X330" s="185">
        <v>3200</v>
      </c>
      <c r="Y330" s="185">
        <v>1891.4996999999998</v>
      </c>
      <c r="Z330" s="183">
        <v>0.59109365624999999</v>
      </c>
      <c r="AA330" s="185">
        <v>172.20060000000001</v>
      </c>
      <c r="AB330" s="185">
        <v>853.51976000000002</v>
      </c>
      <c r="AC330" s="185">
        <v>282.77994000000001</v>
      </c>
      <c r="AD330" s="185">
        <v>3200</v>
      </c>
      <c r="AE330" s="186">
        <v>10</v>
      </c>
      <c r="AF330" s="183">
        <v>0.2</v>
      </c>
      <c r="AG330" s="186">
        <v>20</v>
      </c>
      <c r="AH330" s="183">
        <v>0.2</v>
      </c>
    </row>
    <row r="331" spans="3:34" x14ac:dyDescent="0.25">
      <c r="C331" s="181">
        <v>3210</v>
      </c>
      <c r="D331" s="183">
        <v>0</v>
      </c>
      <c r="E331" s="185">
        <v>195</v>
      </c>
      <c r="F331" s="181">
        <v>195</v>
      </c>
      <c r="G331" s="185">
        <v>3015</v>
      </c>
      <c r="H331" s="185">
        <v>85.818599999999989</v>
      </c>
      <c r="I331" s="185">
        <v>71.37</v>
      </c>
      <c r="J331" s="185">
        <v>15.011999999999999</v>
      </c>
      <c r="K331" s="181">
        <v>0</v>
      </c>
      <c r="P331" s="186">
        <v>172.20060000000001</v>
      </c>
      <c r="Q331" s="186">
        <v>2842.7993999999999</v>
      </c>
      <c r="R331" s="183">
        <v>0.4</v>
      </c>
      <c r="S331" s="185">
        <v>-279.60000000000002</v>
      </c>
      <c r="T331" s="185">
        <v>857.51976000000002</v>
      </c>
      <c r="U331" s="185">
        <v>283.77994000000001</v>
      </c>
      <c r="V331" s="187">
        <v>871.16976</v>
      </c>
      <c r="X331" s="185">
        <v>3210</v>
      </c>
      <c r="Y331" s="185">
        <v>1896.4996999999998</v>
      </c>
      <c r="Z331" s="183">
        <v>0.5908098753894081</v>
      </c>
      <c r="AA331" s="185">
        <v>172.20060000000001</v>
      </c>
      <c r="AB331" s="185">
        <v>857.51976000000002</v>
      </c>
      <c r="AC331" s="185">
        <v>283.77994000000001</v>
      </c>
      <c r="AD331" s="185">
        <v>3210</v>
      </c>
      <c r="AE331" s="186">
        <v>10</v>
      </c>
      <c r="AF331" s="183">
        <v>0.2</v>
      </c>
      <c r="AG331" s="186">
        <v>20</v>
      </c>
      <c r="AH331" s="183">
        <v>0.2</v>
      </c>
    </row>
    <row r="332" spans="3:34" x14ac:dyDescent="0.25">
      <c r="C332" s="181">
        <v>3220</v>
      </c>
      <c r="D332" s="183">
        <v>0</v>
      </c>
      <c r="E332" s="185">
        <v>195</v>
      </c>
      <c r="F332" s="181">
        <v>195</v>
      </c>
      <c r="G332" s="185">
        <v>3025</v>
      </c>
      <c r="H332" s="185">
        <v>85.818599999999989</v>
      </c>
      <c r="I332" s="185">
        <v>71.37</v>
      </c>
      <c r="J332" s="185">
        <v>15.011999999999999</v>
      </c>
      <c r="K332" s="181">
        <v>0</v>
      </c>
      <c r="P332" s="186">
        <v>172.20060000000001</v>
      </c>
      <c r="Q332" s="186">
        <v>2852.7993999999999</v>
      </c>
      <c r="R332" s="183">
        <v>0.4</v>
      </c>
      <c r="S332" s="185">
        <v>-279.60000000000002</v>
      </c>
      <c r="T332" s="185">
        <v>861.51976000000002</v>
      </c>
      <c r="U332" s="185">
        <v>284.77994000000001</v>
      </c>
      <c r="V332" s="187">
        <v>875.16976</v>
      </c>
      <c r="X332" s="185">
        <v>3220</v>
      </c>
      <c r="Y332" s="185">
        <v>1901.4996999999998</v>
      </c>
      <c r="Z332" s="183">
        <v>0.59052785714285705</v>
      </c>
      <c r="AA332" s="185">
        <v>172.20060000000001</v>
      </c>
      <c r="AB332" s="185">
        <v>861.51976000000002</v>
      </c>
      <c r="AC332" s="185">
        <v>284.77994000000001</v>
      </c>
      <c r="AD332" s="185">
        <v>3220</v>
      </c>
      <c r="AE332" s="186">
        <v>10</v>
      </c>
      <c r="AF332" s="183">
        <v>0.2</v>
      </c>
      <c r="AG332" s="186">
        <v>20</v>
      </c>
      <c r="AH332" s="183">
        <v>0.2</v>
      </c>
    </row>
    <row r="333" spans="3:34" x14ac:dyDescent="0.25">
      <c r="C333" s="181">
        <v>3230</v>
      </c>
      <c r="D333" s="183">
        <v>0</v>
      </c>
      <c r="E333" s="185">
        <v>195</v>
      </c>
      <c r="F333" s="181">
        <v>195</v>
      </c>
      <c r="G333" s="185">
        <v>3035</v>
      </c>
      <c r="H333" s="185">
        <v>85.818599999999989</v>
      </c>
      <c r="I333" s="185">
        <v>71.37</v>
      </c>
      <c r="J333" s="185">
        <v>15.011999999999999</v>
      </c>
      <c r="K333" s="181">
        <v>0</v>
      </c>
      <c r="P333" s="186">
        <v>172.20060000000001</v>
      </c>
      <c r="Q333" s="186">
        <v>2862.7993999999999</v>
      </c>
      <c r="R333" s="183">
        <v>0.4</v>
      </c>
      <c r="S333" s="185">
        <v>-279.60000000000002</v>
      </c>
      <c r="T333" s="185">
        <v>865.51976000000002</v>
      </c>
      <c r="U333" s="185">
        <v>285.77994000000001</v>
      </c>
      <c r="V333" s="187">
        <v>879.16976</v>
      </c>
      <c r="X333" s="185">
        <v>3230</v>
      </c>
      <c r="Y333" s="185">
        <v>1906.4996999999998</v>
      </c>
      <c r="Z333" s="183">
        <v>0.59024758513931885</v>
      </c>
      <c r="AA333" s="185">
        <v>172.20060000000001</v>
      </c>
      <c r="AB333" s="185">
        <v>865.51976000000002</v>
      </c>
      <c r="AC333" s="185">
        <v>285.77994000000001</v>
      </c>
      <c r="AD333" s="185">
        <v>3230</v>
      </c>
      <c r="AE333" s="186">
        <v>10</v>
      </c>
      <c r="AF333" s="183">
        <v>0.2</v>
      </c>
      <c r="AG333" s="186">
        <v>20</v>
      </c>
      <c r="AH333" s="183">
        <v>0.2</v>
      </c>
    </row>
    <row r="334" spans="3:34" x14ac:dyDescent="0.25">
      <c r="C334" s="181">
        <v>3240</v>
      </c>
      <c r="D334" s="183">
        <v>0</v>
      </c>
      <c r="E334" s="185">
        <v>195</v>
      </c>
      <c r="F334" s="181">
        <v>195</v>
      </c>
      <c r="G334" s="185">
        <v>3045</v>
      </c>
      <c r="H334" s="185">
        <v>85.818599999999989</v>
      </c>
      <c r="I334" s="185">
        <v>71.37</v>
      </c>
      <c r="J334" s="185">
        <v>15.011999999999999</v>
      </c>
      <c r="K334" s="181">
        <v>0</v>
      </c>
      <c r="P334" s="186">
        <v>172.20060000000001</v>
      </c>
      <c r="Q334" s="186">
        <v>2872.7993999999999</v>
      </c>
      <c r="R334" s="183">
        <v>0.4</v>
      </c>
      <c r="S334" s="185">
        <v>-279.60000000000002</v>
      </c>
      <c r="T334" s="185">
        <v>869.51976000000002</v>
      </c>
      <c r="U334" s="185">
        <v>286.77994000000001</v>
      </c>
      <c r="V334" s="187">
        <v>883.16976</v>
      </c>
      <c r="X334" s="185">
        <v>3240</v>
      </c>
      <c r="Y334" s="185">
        <v>1911.4996999999998</v>
      </c>
      <c r="Z334" s="183">
        <v>0.58996904320987653</v>
      </c>
      <c r="AA334" s="185">
        <v>172.20060000000001</v>
      </c>
      <c r="AB334" s="185">
        <v>869.51976000000002</v>
      </c>
      <c r="AC334" s="185">
        <v>286.77994000000001</v>
      </c>
      <c r="AD334" s="185">
        <v>3240</v>
      </c>
      <c r="AE334" s="186">
        <v>10</v>
      </c>
      <c r="AF334" s="183">
        <v>0.2</v>
      </c>
      <c r="AG334" s="186">
        <v>20</v>
      </c>
      <c r="AH334" s="183">
        <v>0.2</v>
      </c>
    </row>
    <row r="335" spans="3:34" x14ac:dyDescent="0.25">
      <c r="C335" s="181">
        <v>3250</v>
      </c>
      <c r="D335" s="183">
        <v>0</v>
      </c>
      <c r="E335" s="185">
        <v>195</v>
      </c>
      <c r="F335" s="181">
        <v>195</v>
      </c>
      <c r="G335" s="185">
        <v>3055</v>
      </c>
      <c r="H335" s="185">
        <v>85.818599999999989</v>
      </c>
      <c r="I335" s="185">
        <v>71.37</v>
      </c>
      <c r="J335" s="185">
        <v>15.011999999999999</v>
      </c>
      <c r="K335" s="181">
        <v>0</v>
      </c>
      <c r="P335" s="186">
        <v>172.20060000000001</v>
      </c>
      <c r="Q335" s="186">
        <v>2882.7993999999999</v>
      </c>
      <c r="R335" s="183">
        <v>0.4</v>
      </c>
      <c r="S335" s="185">
        <v>-279.60000000000002</v>
      </c>
      <c r="T335" s="185">
        <v>873.51976000000002</v>
      </c>
      <c r="U335" s="185">
        <v>287.77994000000001</v>
      </c>
      <c r="V335" s="187">
        <v>887.16976</v>
      </c>
      <c r="X335" s="185">
        <v>3250</v>
      </c>
      <c r="Y335" s="185">
        <v>1916.4996999999998</v>
      </c>
      <c r="Z335" s="183">
        <v>0.58969221538461536</v>
      </c>
      <c r="AA335" s="185">
        <v>172.20060000000001</v>
      </c>
      <c r="AB335" s="185">
        <v>873.51976000000002</v>
      </c>
      <c r="AC335" s="185">
        <v>287.77994000000001</v>
      </c>
      <c r="AD335" s="185">
        <v>3250</v>
      </c>
      <c r="AE335" s="186">
        <v>10</v>
      </c>
      <c r="AF335" s="183">
        <v>0.2</v>
      </c>
      <c r="AG335" s="186">
        <v>20</v>
      </c>
      <c r="AH335" s="183">
        <v>0.2</v>
      </c>
    </row>
    <row r="336" spans="3:34" x14ac:dyDescent="0.25">
      <c r="C336" s="181">
        <v>3260</v>
      </c>
      <c r="D336" s="183">
        <v>0</v>
      </c>
      <c r="E336" s="185">
        <v>195</v>
      </c>
      <c r="F336" s="181">
        <v>195</v>
      </c>
      <c r="G336" s="185">
        <v>3065</v>
      </c>
      <c r="H336" s="185">
        <v>85.818599999999989</v>
      </c>
      <c r="I336" s="185">
        <v>71.37</v>
      </c>
      <c r="J336" s="185">
        <v>15.011999999999999</v>
      </c>
      <c r="K336" s="181">
        <v>0</v>
      </c>
      <c r="P336" s="186">
        <v>172.20060000000001</v>
      </c>
      <c r="Q336" s="186">
        <v>2892.7993999999999</v>
      </c>
      <c r="R336" s="183">
        <v>0.4</v>
      </c>
      <c r="S336" s="185">
        <v>-279.60000000000002</v>
      </c>
      <c r="T336" s="185">
        <v>877.51976000000002</v>
      </c>
      <c r="U336" s="185">
        <v>288.77994000000001</v>
      </c>
      <c r="V336" s="187">
        <v>891.16976</v>
      </c>
      <c r="X336" s="185">
        <v>3260</v>
      </c>
      <c r="Y336" s="185">
        <v>1921.4996999999998</v>
      </c>
      <c r="Z336" s="183">
        <v>0.58941708588957054</v>
      </c>
      <c r="AA336" s="185">
        <v>172.20060000000001</v>
      </c>
      <c r="AB336" s="185">
        <v>877.51976000000002</v>
      </c>
      <c r="AC336" s="185">
        <v>288.77994000000001</v>
      </c>
      <c r="AD336" s="185">
        <v>3260</v>
      </c>
      <c r="AE336" s="186">
        <v>10</v>
      </c>
      <c r="AF336" s="183">
        <v>0.2</v>
      </c>
      <c r="AG336" s="186">
        <v>20</v>
      </c>
      <c r="AH336" s="183">
        <v>0.2</v>
      </c>
    </row>
    <row r="337" spans="3:34" x14ac:dyDescent="0.25">
      <c r="C337" s="181">
        <v>3270</v>
      </c>
      <c r="D337" s="183">
        <v>0</v>
      </c>
      <c r="E337" s="185">
        <v>195</v>
      </c>
      <c r="F337" s="181">
        <v>195</v>
      </c>
      <c r="G337" s="185">
        <v>3075</v>
      </c>
      <c r="H337" s="185">
        <v>85.818599999999989</v>
      </c>
      <c r="I337" s="185">
        <v>71.37</v>
      </c>
      <c r="J337" s="185">
        <v>15.011999999999999</v>
      </c>
      <c r="K337" s="181">
        <v>0</v>
      </c>
      <c r="P337" s="186">
        <v>172.20060000000001</v>
      </c>
      <c r="Q337" s="186">
        <v>2902.7993999999999</v>
      </c>
      <c r="R337" s="183">
        <v>0.4</v>
      </c>
      <c r="S337" s="185">
        <v>-279.60000000000002</v>
      </c>
      <c r="T337" s="185">
        <v>881.51976000000002</v>
      </c>
      <c r="U337" s="185">
        <v>289.77994000000001</v>
      </c>
      <c r="V337" s="187">
        <v>895.16976</v>
      </c>
      <c r="X337" s="185">
        <v>3270</v>
      </c>
      <c r="Y337" s="185">
        <v>1926.4996999999998</v>
      </c>
      <c r="Z337" s="183">
        <v>0.5891436391437308</v>
      </c>
      <c r="AA337" s="185">
        <v>172.20060000000001</v>
      </c>
      <c r="AB337" s="185">
        <v>881.51976000000002</v>
      </c>
      <c r="AC337" s="185">
        <v>289.77994000000001</v>
      </c>
      <c r="AD337" s="185">
        <v>3270</v>
      </c>
      <c r="AE337" s="186">
        <v>10</v>
      </c>
      <c r="AF337" s="183">
        <v>0.2</v>
      </c>
      <c r="AG337" s="186">
        <v>20</v>
      </c>
      <c r="AH337" s="183">
        <v>0.2</v>
      </c>
    </row>
    <row r="338" spans="3:34" x14ac:dyDescent="0.25">
      <c r="C338" s="181">
        <v>3280</v>
      </c>
      <c r="D338" s="183">
        <v>0</v>
      </c>
      <c r="E338" s="185">
        <v>195</v>
      </c>
      <c r="F338" s="181">
        <v>195</v>
      </c>
      <c r="G338" s="185">
        <v>3085</v>
      </c>
      <c r="H338" s="185">
        <v>85.818599999999989</v>
      </c>
      <c r="I338" s="185">
        <v>71.37</v>
      </c>
      <c r="J338" s="185">
        <v>15.011999999999999</v>
      </c>
      <c r="K338" s="181">
        <v>0</v>
      </c>
      <c r="P338" s="186">
        <v>172.20060000000001</v>
      </c>
      <c r="Q338" s="186">
        <v>2912.7993999999999</v>
      </c>
      <c r="R338" s="183">
        <v>0.4</v>
      </c>
      <c r="S338" s="185">
        <v>-279.60000000000002</v>
      </c>
      <c r="T338" s="185">
        <v>885.51976000000002</v>
      </c>
      <c r="U338" s="185">
        <v>290.77994000000001</v>
      </c>
      <c r="V338" s="187">
        <v>899.16976</v>
      </c>
      <c r="X338" s="185">
        <v>3280</v>
      </c>
      <c r="Y338" s="185">
        <v>1931.4996999999998</v>
      </c>
      <c r="Z338" s="183">
        <v>0.58887185975609746</v>
      </c>
      <c r="AA338" s="185">
        <v>172.20060000000001</v>
      </c>
      <c r="AB338" s="185">
        <v>885.51976000000002</v>
      </c>
      <c r="AC338" s="185">
        <v>290.77994000000001</v>
      </c>
      <c r="AD338" s="185">
        <v>3280</v>
      </c>
      <c r="AE338" s="186">
        <v>10</v>
      </c>
      <c r="AF338" s="183">
        <v>0.2</v>
      </c>
      <c r="AG338" s="186">
        <v>20</v>
      </c>
      <c r="AH338" s="183">
        <v>0.2</v>
      </c>
    </row>
    <row r="339" spans="3:34" x14ac:dyDescent="0.25">
      <c r="C339" s="181">
        <v>3290</v>
      </c>
      <c r="D339" s="183">
        <v>0</v>
      </c>
      <c r="E339" s="185">
        <v>195</v>
      </c>
      <c r="F339" s="181">
        <v>195</v>
      </c>
      <c r="G339" s="185">
        <v>3095</v>
      </c>
      <c r="H339" s="185">
        <v>85.818599999999989</v>
      </c>
      <c r="I339" s="185">
        <v>71.37</v>
      </c>
      <c r="J339" s="185">
        <v>15.011999999999999</v>
      </c>
      <c r="K339" s="181">
        <v>0</v>
      </c>
      <c r="P339" s="186">
        <v>172.20060000000001</v>
      </c>
      <c r="Q339" s="186">
        <v>2922.7993999999999</v>
      </c>
      <c r="R339" s="183">
        <v>0.4</v>
      </c>
      <c r="S339" s="185">
        <v>-279.60000000000002</v>
      </c>
      <c r="T339" s="185">
        <v>889.51976000000002</v>
      </c>
      <c r="U339" s="185">
        <v>291.77994000000001</v>
      </c>
      <c r="V339" s="187">
        <v>903.16976</v>
      </c>
      <c r="X339" s="185">
        <v>3290</v>
      </c>
      <c r="Y339" s="185">
        <v>1936.4996999999998</v>
      </c>
      <c r="Z339" s="183">
        <v>0.58860173252279635</v>
      </c>
      <c r="AA339" s="185">
        <v>172.20060000000001</v>
      </c>
      <c r="AB339" s="185">
        <v>889.51976000000002</v>
      </c>
      <c r="AC339" s="185">
        <v>291.77994000000001</v>
      </c>
      <c r="AD339" s="185">
        <v>3290</v>
      </c>
      <c r="AE339" s="186">
        <v>10</v>
      </c>
      <c r="AF339" s="183">
        <v>0.2</v>
      </c>
      <c r="AG339" s="186">
        <v>20</v>
      </c>
      <c r="AH339" s="183">
        <v>0.2</v>
      </c>
    </row>
    <row r="340" spans="3:34" x14ac:dyDescent="0.25">
      <c r="C340" s="181">
        <v>3300</v>
      </c>
      <c r="D340" s="183">
        <v>0</v>
      </c>
      <c r="E340" s="185">
        <v>195</v>
      </c>
      <c r="F340" s="181">
        <v>195</v>
      </c>
      <c r="G340" s="185">
        <v>3105</v>
      </c>
      <c r="H340" s="185">
        <v>85.818599999999989</v>
      </c>
      <c r="I340" s="185">
        <v>71.37</v>
      </c>
      <c r="J340" s="185">
        <v>15.011999999999999</v>
      </c>
      <c r="K340" s="181">
        <v>0</v>
      </c>
      <c r="P340" s="186">
        <v>172.20060000000001</v>
      </c>
      <c r="Q340" s="186">
        <v>2932.7993999999999</v>
      </c>
      <c r="R340" s="183">
        <v>0.4</v>
      </c>
      <c r="S340" s="185">
        <v>-279.60000000000002</v>
      </c>
      <c r="T340" s="185">
        <v>893.51976000000002</v>
      </c>
      <c r="U340" s="185">
        <v>292.77994000000001</v>
      </c>
      <c r="V340" s="187">
        <v>907.16976</v>
      </c>
      <c r="X340" s="185">
        <v>3300</v>
      </c>
      <c r="Y340" s="185">
        <v>1941.4996999999998</v>
      </c>
      <c r="Z340" s="183">
        <v>0.58833324242424234</v>
      </c>
      <c r="AA340" s="185">
        <v>172.20060000000001</v>
      </c>
      <c r="AB340" s="185">
        <v>893.51976000000002</v>
      </c>
      <c r="AC340" s="185">
        <v>292.77994000000001</v>
      </c>
      <c r="AD340" s="185">
        <v>3300</v>
      </c>
      <c r="AE340" s="186">
        <v>10</v>
      </c>
      <c r="AF340" s="183">
        <v>0.2</v>
      </c>
      <c r="AG340" s="186">
        <v>20</v>
      </c>
      <c r="AH340" s="183">
        <v>0.2</v>
      </c>
    </row>
    <row r="341" spans="3:34" x14ac:dyDescent="0.25">
      <c r="C341" s="181">
        <v>3310</v>
      </c>
      <c r="D341" s="183">
        <v>0</v>
      </c>
      <c r="E341" s="185">
        <v>195</v>
      </c>
      <c r="F341" s="181">
        <v>195</v>
      </c>
      <c r="G341" s="185">
        <v>3115</v>
      </c>
      <c r="H341" s="185">
        <v>85.818599999999989</v>
      </c>
      <c r="I341" s="185">
        <v>71.37</v>
      </c>
      <c r="J341" s="185">
        <v>15.011999999999999</v>
      </c>
      <c r="K341" s="181">
        <v>0</v>
      </c>
      <c r="P341" s="186">
        <v>172.20060000000001</v>
      </c>
      <c r="Q341" s="186">
        <v>2942.7993999999999</v>
      </c>
      <c r="R341" s="183">
        <v>0.4</v>
      </c>
      <c r="S341" s="185">
        <v>-279.60000000000002</v>
      </c>
      <c r="T341" s="185">
        <v>897.51976000000002</v>
      </c>
      <c r="U341" s="185">
        <v>293.77994000000001</v>
      </c>
      <c r="V341" s="187">
        <v>911.16976</v>
      </c>
      <c r="X341" s="185">
        <v>3310</v>
      </c>
      <c r="Y341" s="185">
        <v>1946.4996999999998</v>
      </c>
      <c r="Z341" s="183">
        <v>0.58806637462235645</v>
      </c>
      <c r="AA341" s="185">
        <v>172.20060000000001</v>
      </c>
      <c r="AB341" s="185">
        <v>897.51976000000002</v>
      </c>
      <c r="AC341" s="185">
        <v>293.77994000000001</v>
      </c>
      <c r="AD341" s="185">
        <v>3310</v>
      </c>
      <c r="AE341" s="186">
        <v>10</v>
      </c>
      <c r="AF341" s="183">
        <v>0.2</v>
      </c>
      <c r="AG341" s="186">
        <v>20</v>
      </c>
      <c r="AH341" s="183">
        <v>0.2</v>
      </c>
    </row>
    <row r="342" spans="3:34" x14ac:dyDescent="0.25">
      <c r="C342" s="181">
        <v>3320</v>
      </c>
      <c r="D342" s="183">
        <v>0</v>
      </c>
      <c r="E342" s="185">
        <v>195</v>
      </c>
      <c r="F342" s="181">
        <v>195</v>
      </c>
      <c r="G342" s="185">
        <v>3125</v>
      </c>
      <c r="H342" s="185">
        <v>85.818599999999989</v>
      </c>
      <c r="I342" s="185">
        <v>71.37</v>
      </c>
      <c r="J342" s="185">
        <v>15.011999999999999</v>
      </c>
      <c r="K342" s="181">
        <v>0</v>
      </c>
      <c r="P342" s="186">
        <v>172.20060000000001</v>
      </c>
      <c r="Q342" s="186">
        <v>2952.7993999999999</v>
      </c>
      <c r="R342" s="183">
        <v>0.4</v>
      </c>
      <c r="S342" s="185">
        <v>-279.60000000000002</v>
      </c>
      <c r="T342" s="185">
        <v>901.51976000000002</v>
      </c>
      <c r="U342" s="185">
        <v>294.77994000000001</v>
      </c>
      <c r="V342" s="187">
        <v>915.16976</v>
      </c>
      <c r="X342" s="185">
        <v>3320</v>
      </c>
      <c r="Y342" s="185">
        <v>1951.4996999999998</v>
      </c>
      <c r="Z342" s="183">
        <v>0.58780111445783123</v>
      </c>
      <c r="AA342" s="185">
        <v>172.20060000000001</v>
      </c>
      <c r="AB342" s="185">
        <v>901.51976000000002</v>
      </c>
      <c r="AC342" s="185">
        <v>294.77994000000001</v>
      </c>
      <c r="AD342" s="185">
        <v>3320</v>
      </c>
      <c r="AE342" s="186">
        <v>10</v>
      </c>
      <c r="AF342" s="183">
        <v>0.2</v>
      </c>
      <c r="AG342" s="186">
        <v>20</v>
      </c>
      <c r="AH342" s="183">
        <v>0.2</v>
      </c>
    </row>
    <row r="343" spans="3:34" x14ac:dyDescent="0.25">
      <c r="C343" s="181">
        <v>3330</v>
      </c>
      <c r="D343" s="183">
        <v>0</v>
      </c>
      <c r="E343" s="185">
        <v>195</v>
      </c>
      <c r="F343" s="181">
        <v>195</v>
      </c>
      <c r="G343" s="185">
        <v>3135</v>
      </c>
      <c r="H343" s="185">
        <v>85.818599999999989</v>
      </c>
      <c r="I343" s="185">
        <v>71.37</v>
      </c>
      <c r="J343" s="185">
        <v>15.011999999999999</v>
      </c>
      <c r="K343" s="181">
        <v>0</v>
      </c>
      <c r="P343" s="186">
        <v>172.20060000000001</v>
      </c>
      <c r="Q343" s="186">
        <v>2962.7993999999999</v>
      </c>
      <c r="R343" s="183">
        <v>0.4</v>
      </c>
      <c r="S343" s="185">
        <v>-279.60000000000002</v>
      </c>
      <c r="T343" s="185">
        <v>905.51976000000002</v>
      </c>
      <c r="U343" s="185">
        <v>295.77994000000001</v>
      </c>
      <c r="V343" s="187">
        <v>919.16976</v>
      </c>
      <c r="X343" s="185">
        <v>3330</v>
      </c>
      <c r="Y343" s="185">
        <v>1956.4996999999998</v>
      </c>
      <c r="Z343" s="183">
        <v>0.5875374474474474</v>
      </c>
      <c r="AA343" s="185">
        <v>172.20060000000001</v>
      </c>
      <c r="AB343" s="185">
        <v>905.51976000000002</v>
      </c>
      <c r="AC343" s="185">
        <v>295.77994000000001</v>
      </c>
      <c r="AD343" s="185">
        <v>3330</v>
      </c>
      <c r="AE343" s="186">
        <v>10</v>
      </c>
      <c r="AF343" s="183">
        <v>0.2</v>
      </c>
      <c r="AG343" s="186">
        <v>20</v>
      </c>
      <c r="AH343" s="183">
        <v>0.2</v>
      </c>
    </row>
    <row r="344" spans="3:34" x14ac:dyDescent="0.25">
      <c r="C344" s="181">
        <v>3340</v>
      </c>
      <c r="D344" s="183">
        <v>0</v>
      </c>
      <c r="E344" s="185">
        <v>195</v>
      </c>
      <c r="F344" s="181">
        <v>195</v>
      </c>
      <c r="G344" s="185">
        <v>3145</v>
      </c>
      <c r="H344" s="185">
        <v>85.818599999999989</v>
      </c>
      <c r="I344" s="185">
        <v>71.37</v>
      </c>
      <c r="J344" s="185">
        <v>15.011999999999999</v>
      </c>
      <c r="K344" s="181">
        <v>0</v>
      </c>
      <c r="P344" s="186">
        <v>172.20060000000001</v>
      </c>
      <c r="Q344" s="186">
        <v>2972.7993999999999</v>
      </c>
      <c r="R344" s="183">
        <v>0.4</v>
      </c>
      <c r="S344" s="185">
        <v>-279.60000000000002</v>
      </c>
      <c r="T344" s="185">
        <v>909.51976000000002</v>
      </c>
      <c r="U344" s="185">
        <v>296.77994000000001</v>
      </c>
      <c r="V344" s="187">
        <v>923.16976</v>
      </c>
      <c r="X344" s="185">
        <v>3340</v>
      </c>
      <c r="Y344" s="185">
        <v>1961.4996999999998</v>
      </c>
      <c r="Z344" s="183">
        <v>0.58727535928143704</v>
      </c>
      <c r="AA344" s="185">
        <v>172.20060000000001</v>
      </c>
      <c r="AB344" s="185">
        <v>909.51976000000002</v>
      </c>
      <c r="AC344" s="185">
        <v>296.77994000000001</v>
      </c>
      <c r="AD344" s="185">
        <v>3340</v>
      </c>
      <c r="AE344" s="186">
        <v>10</v>
      </c>
      <c r="AF344" s="183">
        <v>0.2</v>
      </c>
      <c r="AG344" s="186">
        <v>20</v>
      </c>
      <c r="AH344" s="183">
        <v>0.2</v>
      </c>
    </row>
    <row r="345" spans="3:34" x14ac:dyDescent="0.25">
      <c r="C345" s="181">
        <v>3350</v>
      </c>
      <c r="D345" s="183">
        <v>0</v>
      </c>
      <c r="E345" s="185">
        <v>195</v>
      </c>
      <c r="F345" s="181">
        <v>195</v>
      </c>
      <c r="G345" s="185">
        <v>3155</v>
      </c>
      <c r="H345" s="185">
        <v>85.818599999999989</v>
      </c>
      <c r="I345" s="185">
        <v>71.37</v>
      </c>
      <c r="J345" s="185">
        <v>15.011999999999999</v>
      </c>
      <c r="K345" s="181">
        <v>0</v>
      </c>
      <c r="P345" s="186">
        <v>172.20060000000001</v>
      </c>
      <c r="Q345" s="186">
        <v>2982.7993999999999</v>
      </c>
      <c r="R345" s="183">
        <v>0.4</v>
      </c>
      <c r="S345" s="185">
        <v>-279.60000000000002</v>
      </c>
      <c r="T345" s="185">
        <v>913.51976000000002</v>
      </c>
      <c r="U345" s="185">
        <v>297.77994000000001</v>
      </c>
      <c r="V345" s="187">
        <v>927.16976</v>
      </c>
      <c r="X345" s="185">
        <v>3350</v>
      </c>
      <c r="Y345" s="185">
        <v>1966.4996999999998</v>
      </c>
      <c r="Z345" s="183">
        <v>0.58701483582089553</v>
      </c>
      <c r="AA345" s="185">
        <v>172.20060000000001</v>
      </c>
      <c r="AB345" s="185">
        <v>913.51976000000002</v>
      </c>
      <c r="AC345" s="185">
        <v>297.77994000000001</v>
      </c>
      <c r="AD345" s="185">
        <v>3350</v>
      </c>
      <c r="AE345" s="186">
        <v>10</v>
      </c>
      <c r="AF345" s="183">
        <v>0.2</v>
      </c>
      <c r="AG345" s="186">
        <v>20</v>
      </c>
      <c r="AH345" s="183">
        <v>0.2</v>
      </c>
    </row>
    <row r="346" spans="3:34" x14ac:dyDescent="0.25">
      <c r="C346" s="181">
        <v>3360</v>
      </c>
      <c r="D346" s="183">
        <v>0</v>
      </c>
      <c r="E346" s="185">
        <v>195</v>
      </c>
      <c r="F346" s="181">
        <v>195</v>
      </c>
      <c r="G346" s="185">
        <v>3165</v>
      </c>
      <c r="H346" s="185">
        <v>85.818599999999989</v>
      </c>
      <c r="I346" s="185">
        <v>71.37</v>
      </c>
      <c r="J346" s="185">
        <v>15.011999999999999</v>
      </c>
      <c r="K346" s="181">
        <v>0</v>
      </c>
      <c r="P346" s="186">
        <v>172.20060000000001</v>
      </c>
      <c r="Q346" s="186">
        <v>2992.7993999999999</v>
      </c>
      <c r="R346" s="183">
        <v>0.4</v>
      </c>
      <c r="S346" s="185">
        <v>-279.60000000000002</v>
      </c>
      <c r="T346" s="185">
        <v>917.51976000000002</v>
      </c>
      <c r="U346" s="185">
        <v>298.77994000000001</v>
      </c>
      <c r="V346" s="187">
        <v>931.16976</v>
      </c>
      <c r="X346" s="185">
        <v>3360</v>
      </c>
      <c r="Y346" s="185">
        <v>1971.4996999999998</v>
      </c>
      <c r="Z346" s="183">
        <v>0.58675586309523808</v>
      </c>
      <c r="AA346" s="185">
        <v>172.20060000000001</v>
      </c>
      <c r="AB346" s="185">
        <v>917.51976000000002</v>
      </c>
      <c r="AC346" s="185">
        <v>298.77994000000001</v>
      </c>
      <c r="AD346" s="185">
        <v>3360</v>
      </c>
      <c r="AE346" s="186">
        <v>10</v>
      </c>
      <c r="AF346" s="183">
        <v>0.2</v>
      </c>
      <c r="AG346" s="186">
        <v>20</v>
      </c>
      <c r="AH346" s="183">
        <v>0.2</v>
      </c>
    </row>
    <row r="347" spans="3:34" x14ac:dyDescent="0.25">
      <c r="C347" s="181">
        <v>3370</v>
      </c>
      <c r="D347" s="183">
        <v>0</v>
      </c>
      <c r="E347" s="185">
        <v>195</v>
      </c>
      <c r="F347" s="181">
        <v>195</v>
      </c>
      <c r="G347" s="185">
        <v>3175</v>
      </c>
      <c r="H347" s="185">
        <v>85.818599999999989</v>
      </c>
      <c r="I347" s="185">
        <v>71.37</v>
      </c>
      <c r="J347" s="185">
        <v>15.011999999999999</v>
      </c>
      <c r="K347" s="181">
        <v>0</v>
      </c>
      <c r="P347" s="186">
        <v>172.20060000000001</v>
      </c>
      <c r="Q347" s="186">
        <v>3002.7993999999999</v>
      </c>
      <c r="R347" s="183">
        <v>0.4</v>
      </c>
      <c r="S347" s="185">
        <v>-279.60000000000002</v>
      </c>
      <c r="T347" s="185">
        <v>921.51976000000002</v>
      </c>
      <c r="U347" s="185">
        <v>299.77994000000001</v>
      </c>
      <c r="V347" s="187">
        <v>935.16976</v>
      </c>
      <c r="X347" s="185">
        <v>3370</v>
      </c>
      <c r="Y347" s="185">
        <v>1976.4996999999998</v>
      </c>
      <c r="Z347" s="183">
        <v>0.58649842729970325</v>
      </c>
      <c r="AA347" s="185">
        <v>172.20060000000001</v>
      </c>
      <c r="AB347" s="185">
        <v>921.51976000000002</v>
      </c>
      <c r="AC347" s="185">
        <v>299.77994000000001</v>
      </c>
      <c r="AD347" s="185">
        <v>3370</v>
      </c>
      <c r="AE347" s="186">
        <v>10</v>
      </c>
      <c r="AF347" s="183">
        <v>0.2</v>
      </c>
      <c r="AG347" s="186">
        <v>20</v>
      </c>
      <c r="AH347" s="183">
        <v>0.2</v>
      </c>
    </row>
    <row r="348" spans="3:34" x14ac:dyDescent="0.25">
      <c r="C348" s="181">
        <v>3380</v>
      </c>
      <c r="D348" s="183">
        <v>0</v>
      </c>
      <c r="E348" s="185">
        <v>195</v>
      </c>
      <c r="F348" s="181">
        <v>195</v>
      </c>
      <c r="G348" s="185">
        <v>3185</v>
      </c>
      <c r="H348" s="185">
        <v>85.818599999999989</v>
      </c>
      <c r="I348" s="185">
        <v>71.37</v>
      </c>
      <c r="J348" s="185">
        <v>15.011999999999999</v>
      </c>
      <c r="K348" s="181">
        <v>0</v>
      </c>
      <c r="P348" s="186">
        <v>172.20060000000001</v>
      </c>
      <c r="Q348" s="186">
        <v>3012.7993999999999</v>
      </c>
      <c r="R348" s="183">
        <v>0.4</v>
      </c>
      <c r="S348" s="185">
        <v>-279.60000000000002</v>
      </c>
      <c r="T348" s="185">
        <v>925.51976000000002</v>
      </c>
      <c r="U348" s="185">
        <v>300.77994000000001</v>
      </c>
      <c r="V348" s="187">
        <v>939.16976</v>
      </c>
      <c r="X348" s="185">
        <v>3380</v>
      </c>
      <c r="Y348" s="185">
        <v>1981.4996999999998</v>
      </c>
      <c r="Z348" s="183">
        <v>0.58624251479289935</v>
      </c>
      <c r="AA348" s="185">
        <v>172.20060000000001</v>
      </c>
      <c r="AB348" s="185">
        <v>925.51976000000002</v>
      </c>
      <c r="AC348" s="185">
        <v>300.77994000000001</v>
      </c>
      <c r="AD348" s="185">
        <v>3380</v>
      </c>
      <c r="AE348" s="186">
        <v>10</v>
      </c>
      <c r="AF348" s="183">
        <v>0.2</v>
      </c>
      <c r="AG348" s="186">
        <v>20</v>
      </c>
      <c r="AH348" s="183">
        <v>0.2</v>
      </c>
    </row>
    <row r="349" spans="3:34" x14ac:dyDescent="0.25">
      <c r="C349" s="181">
        <v>3390</v>
      </c>
      <c r="D349" s="183">
        <v>0</v>
      </c>
      <c r="E349" s="185">
        <v>195</v>
      </c>
      <c r="F349" s="181">
        <v>195</v>
      </c>
      <c r="G349" s="185">
        <v>3195</v>
      </c>
      <c r="H349" s="185">
        <v>85.818599999999989</v>
      </c>
      <c r="I349" s="185">
        <v>71.37</v>
      </c>
      <c r="J349" s="185">
        <v>15.011999999999999</v>
      </c>
      <c r="K349" s="181">
        <v>0</v>
      </c>
      <c r="P349" s="186">
        <v>172.20060000000001</v>
      </c>
      <c r="Q349" s="186">
        <v>3022.7993999999999</v>
      </c>
      <c r="R349" s="183">
        <v>0.4</v>
      </c>
      <c r="S349" s="185">
        <v>-279.60000000000002</v>
      </c>
      <c r="T349" s="185">
        <v>929.51976000000002</v>
      </c>
      <c r="U349" s="185">
        <v>301.77994000000001</v>
      </c>
      <c r="V349" s="187">
        <v>943.16976</v>
      </c>
      <c r="X349" s="185">
        <v>3390</v>
      </c>
      <c r="Y349" s="185">
        <v>1986.4996999999998</v>
      </c>
      <c r="Z349" s="183">
        <v>0.58598811209439527</v>
      </c>
      <c r="AA349" s="185">
        <v>172.20060000000001</v>
      </c>
      <c r="AB349" s="185">
        <v>929.51976000000002</v>
      </c>
      <c r="AC349" s="185">
        <v>301.77994000000001</v>
      </c>
      <c r="AD349" s="185">
        <v>3390</v>
      </c>
      <c r="AE349" s="186">
        <v>10</v>
      </c>
      <c r="AF349" s="183">
        <v>0.2</v>
      </c>
      <c r="AG349" s="186">
        <v>20</v>
      </c>
      <c r="AH349" s="183">
        <v>0.2</v>
      </c>
    </row>
    <row r="350" spans="3:34" x14ac:dyDescent="0.25">
      <c r="C350" s="181">
        <v>3400</v>
      </c>
      <c r="D350" s="183">
        <v>0</v>
      </c>
      <c r="E350" s="185">
        <v>195</v>
      </c>
      <c r="F350" s="181">
        <v>195</v>
      </c>
      <c r="G350" s="185">
        <v>3205</v>
      </c>
      <c r="H350" s="185">
        <v>85.818599999999989</v>
      </c>
      <c r="I350" s="185">
        <v>71.37</v>
      </c>
      <c r="J350" s="185">
        <v>15.011999999999999</v>
      </c>
      <c r="K350" s="181">
        <v>0</v>
      </c>
      <c r="P350" s="186">
        <v>172.20060000000001</v>
      </c>
      <c r="Q350" s="186">
        <v>3032.7993999999999</v>
      </c>
      <c r="R350" s="183">
        <v>0.4</v>
      </c>
      <c r="S350" s="185">
        <v>-279.60000000000002</v>
      </c>
      <c r="T350" s="185">
        <v>933.51976000000002</v>
      </c>
      <c r="U350" s="185">
        <v>302.77994000000001</v>
      </c>
      <c r="V350" s="187">
        <v>947.16976</v>
      </c>
      <c r="X350" s="185">
        <v>3400</v>
      </c>
      <c r="Y350" s="185">
        <v>1991.4996999999998</v>
      </c>
      <c r="Z350" s="183">
        <v>0.58573520588235295</v>
      </c>
      <c r="AA350" s="185">
        <v>172.20060000000001</v>
      </c>
      <c r="AB350" s="185">
        <v>933.51976000000002</v>
      </c>
      <c r="AC350" s="185">
        <v>302.77994000000001</v>
      </c>
      <c r="AD350" s="185">
        <v>3400</v>
      </c>
      <c r="AE350" s="186">
        <v>10</v>
      </c>
      <c r="AF350" s="183">
        <v>0.2</v>
      </c>
      <c r="AG350" s="186">
        <v>20</v>
      </c>
      <c r="AH350" s="183">
        <v>0.2</v>
      </c>
    </row>
    <row r="351" spans="3:34" x14ac:dyDescent="0.25">
      <c r="C351" s="181">
        <v>3410</v>
      </c>
      <c r="D351" s="183">
        <v>0</v>
      </c>
      <c r="E351" s="185">
        <v>195</v>
      </c>
      <c r="F351" s="181">
        <v>195</v>
      </c>
      <c r="G351" s="185">
        <v>3215</v>
      </c>
      <c r="H351" s="185">
        <v>85.818599999999989</v>
      </c>
      <c r="I351" s="185">
        <v>71.37</v>
      </c>
      <c r="J351" s="185">
        <v>15.011999999999999</v>
      </c>
      <c r="K351" s="181">
        <v>0</v>
      </c>
      <c r="P351" s="186">
        <v>172.20060000000001</v>
      </c>
      <c r="Q351" s="186">
        <v>3042.7993999999999</v>
      </c>
      <c r="R351" s="183">
        <v>0.4</v>
      </c>
      <c r="S351" s="185">
        <v>-279.60000000000002</v>
      </c>
      <c r="T351" s="185">
        <v>937.51976000000002</v>
      </c>
      <c r="U351" s="185">
        <v>303.77994000000001</v>
      </c>
      <c r="V351" s="187">
        <v>951.16976</v>
      </c>
      <c r="X351" s="185">
        <v>3410</v>
      </c>
      <c r="Y351" s="185">
        <v>1996.4996999999998</v>
      </c>
      <c r="Z351" s="183">
        <v>0.5854837829912023</v>
      </c>
      <c r="AA351" s="185">
        <v>172.20060000000001</v>
      </c>
      <c r="AB351" s="185">
        <v>937.51976000000002</v>
      </c>
      <c r="AC351" s="185">
        <v>303.77994000000001</v>
      </c>
      <c r="AD351" s="185">
        <v>3410</v>
      </c>
      <c r="AE351" s="186">
        <v>10</v>
      </c>
      <c r="AF351" s="183">
        <v>0.2</v>
      </c>
      <c r="AG351" s="186">
        <v>20</v>
      </c>
      <c r="AH351" s="183">
        <v>0.2</v>
      </c>
    </row>
    <row r="352" spans="3:34" x14ac:dyDescent="0.25">
      <c r="C352" s="181">
        <v>3420</v>
      </c>
      <c r="D352" s="183">
        <v>0</v>
      </c>
      <c r="E352" s="185">
        <v>195</v>
      </c>
      <c r="F352" s="181">
        <v>195</v>
      </c>
      <c r="G352" s="185">
        <v>3225</v>
      </c>
      <c r="H352" s="185">
        <v>85.818599999999989</v>
      </c>
      <c r="I352" s="185">
        <v>71.37</v>
      </c>
      <c r="J352" s="185">
        <v>15.011999999999999</v>
      </c>
      <c r="K352" s="181">
        <v>0</v>
      </c>
      <c r="P352" s="186">
        <v>172.20060000000001</v>
      </c>
      <c r="Q352" s="186">
        <v>3052.7993999999999</v>
      </c>
      <c r="R352" s="183">
        <v>0.4</v>
      </c>
      <c r="S352" s="185">
        <v>-279.60000000000002</v>
      </c>
      <c r="T352" s="185">
        <v>941.51976000000002</v>
      </c>
      <c r="U352" s="185">
        <v>304.77994000000001</v>
      </c>
      <c r="V352" s="187">
        <v>955.16976</v>
      </c>
      <c r="X352" s="185">
        <v>3420</v>
      </c>
      <c r="Y352" s="185">
        <v>2001.4996999999998</v>
      </c>
      <c r="Z352" s="183">
        <v>0.58523383040935673</v>
      </c>
      <c r="AA352" s="185">
        <v>172.20060000000001</v>
      </c>
      <c r="AB352" s="185">
        <v>941.51976000000002</v>
      </c>
      <c r="AC352" s="185">
        <v>304.77994000000001</v>
      </c>
      <c r="AD352" s="185">
        <v>3420</v>
      </c>
      <c r="AE352" s="186">
        <v>10</v>
      </c>
      <c r="AF352" s="183">
        <v>0.2</v>
      </c>
      <c r="AG352" s="186">
        <v>20</v>
      </c>
      <c r="AH352" s="183">
        <v>0.2</v>
      </c>
    </row>
    <row r="353" spans="3:34" x14ac:dyDescent="0.25">
      <c r="C353" s="181">
        <v>3430</v>
      </c>
      <c r="D353" s="183">
        <v>0</v>
      </c>
      <c r="E353" s="185">
        <v>195</v>
      </c>
      <c r="F353" s="181">
        <v>195</v>
      </c>
      <c r="G353" s="185">
        <v>3235</v>
      </c>
      <c r="H353" s="185">
        <v>85.818599999999989</v>
      </c>
      <c r="I353" s="185">
        <v>71.37</v>
      </c>
      <c r="J353" s="185">
        <v>15.011999999999999</v>
      </c>
      <c r="K353" s="181">
        <v>0</v>
      </c>
      <c r="P353" s="186">
        <v>172.20060000000001</v>
      </c>
      <c r="Q353" s="186">
        <v>3062.7993999999999</v>
      </c>
      <c r="R353" s="183">
        <v>0.4</v>
      </c>
      <c r="S353" s="185">
        <v>-279.60000000000002</v>
      </c>
      <c r="T353" s="185">
        <v>945.51976000000002</v>
      </c>
      <c r="U353" s="185">
        <v>305.77994000000001</v>
      </c>
      <c r="V353" s="187">
        <v>959.16976</v>
      </c>
      <c r="X353" s="185">
        <v>3430</v>
      </c>
      <c r="Y353" s="185">
        <v>2006.4996999999998</v>
      </c>
      <c r="Z353" s="183">
        <v>0.58498533527696783</v>
      </c>
      <c r="AA353" s="185">
        <v>172.20060000000001</v>
      </c>
      <c r="AB353" s="185">
        <v>945.51976000000002</v>
      </c>
      <c r="AC353" s="185">
        <v>305.77994000000001</v>
      </c>
      <c r="AD353" s="185">
        <v>3430</v>
      </c>
      <c r="AE353" s="186">
        <v>10</v>
      </c>
      <c r="AF353" s="183">
        <v>0.2</v>
      </c>
      <c r="AG353" s="186">
        <v>20</v>
      </c>
      <c r="AH353" s="183">
        <v>0.2</v>
      </c>
    </row>
    <row r="354" spans="3:34" x14ac:dyDescent="0.25">
      <c r="C354" s="181">
        <v>3440</v>
      </c>
      <c r="D354" s="183">
        <v>0</v>
      </c>
      <c r="E354" s="185">
        <v>195</v>
      </c>
      <c r="F354" s="181">
        <v>195</v>
      </c>
      <c r="G354" s="185">
        <v>3245</v>
      </c>
      <c r="H354" s="185">
        <v>85.818599999999989</v>
      </c>
      <c r="I354" s="185">
        <v>71.37</v>
      </c>
      <c r="J354" s="185">
        <v>15.011999999999999</v>
      </c>
      <c r="K354" s="181">
        <v>0</v>
      </c>
      <c r="P354" s="186">
        <v>172.20060000000001</v>
      </c>
      <c r="Q354" s="186">
        <v>3072.7993999999999</v>
      </c>
      <c r="R354" s="183">
        <v>0.4</v>
      </c>
      <c r="S354" s="185">
        <v>-279.60000000000002</v>
      </c>
      <c r="T354" s="185">
        <v>949.51976000000002</v>
      </c>
      <c r="U354" s="185">
        <v>306.77994000000001</v>
      </c>
      <c r="V354" s="187">
        <v>963.16976</v>
      </c>
      <c r="X354" s="185">
        <v>3440</v>
      </c>
      <c r="Y354" s="185">
        <v>2011.4996999999998</v>
      </c>
      <c r="Z354" s="183">
        <v>0.58473828488372093</v>
      </c>
      <c r="AA354" s="185">
        <v>172.20060000000001</v>
      </c>
      <c r="AB354" s="185">
        <v>949.51976000000002</v>
      </c>
      <c r="AC354" s="185">
        <v>306.77994000000001</v>
      </c>
      <c r="AD354" s="185">
        <v>3440</v>
      </c>
      <c r="AE354" s="186">
        <v>10</v>
      </c>
      <c r="AF354" s="183">
        <v>0.2</v>
      </c>
      <c r="AG354" s="186">
        <v>20</v>
      </c>
      <c r="AH354" s="183">
        <v>0.2</v>
      </c>
    </row>
    <row r="355" spans="3:34" x14ac:dyDescent="0.25">
      <c r="C355" s="181">
        <v>3450</v>
      </c>
      <c r="D355" s="183">
        <v>0</v>
      </c>
      <c r="E355" s="185">
        <v>195</v>
      </c>
      <c r="F355" s="181">
        <v>195</v>
      </c>
      <c r="G355" s="185">
        <v>3255</v>
      </c>
      <c r="H355" s="185">
        <v>85.818599999999989</v>
      </c>
      <c r="I355" s="185">
        <v>71.37</v>
      </c>
      <c r="J355" s="185">
        <v>15.011999999999999</v>
      </c>
      <c r="K355" s="181">
        <v>0</v>
      </c>
      <c r="P355" s="186">
        <v>172.20060000000001</v>
      </c>
      <c r="Q355" s="186">
        <v>3082.7993999999999</v>
      </c>
      <c r="R355" s="183">
        <v>0.4</v>
      </c>
      <c r="S355" s="185">
        <v>-279.60000000000002</v>
      </c>
      <c r="T355" s="185">
        <v>953.51976000000002</v>
      </c>
      <c r="U355" s="185">
        <v>307.77994000000001</v>
      </c>
      <c r="V355" s="187">
        <v>967.16976</v>
      </c>
      <c r="X355" s="185">
        <v>3450</v>
      </c>
      <c r="Y355" s="185">
        <v>2016.4996999999998</v>
      </c>
      <c r="Z355" s="183">
        <v>0.58449266666666666</v>
      </c>
      <c r="AA355" s="185">
        <v>172.20060000000001</v>
      </c>
      <c r="AB355" s="185">
        <v>953.51976000000002</v>
      </c>
      <c r="AC355" s="185">
        <v>307.77994000000001</v>
      </c>
      <c r="AD355" s="185">
        <v>3450</v>
      </c>
      <c r="AE355" s="186">
        <v>10</v>
      </c>
      <c r="AF355" s="183">
        <v>0.2</v>
      </c>
      <c r="AG355" s="186">
        <v>20</v>
      </c>
      <c r="AH355" s="183">
        <v>0.2</v>
      </c>
    </row>
    <row r="356" spans="3:34" x14ac:dyDescent="0.25">
      <c r="C356" s="181">
        <v>3460</v>
      </c>
      <c r="D356" s="183">
        <v>0</v>
      </c>
      <c r="E356" s="185">
        <v>195</v>
      </c>
      <c r="F356" s="181">
        <v>195</v>
      </c>
      <c r="G356" s="185">
        <v>3265</v>
      </c>
      <c r="H356" s="185">
        <v>85.818599999999989</v>
      </c>
      <c r="I356" s="185">
        <v>71.37</v>
      </c>
      <c r="J356" s="185">
        <v>15.011999999999999</v>
      </c>
      <c r="K356" s="181">
        <v>0</v>
      </c>
      <c r="P356" s="186">
        <v>172.20060000000001</v>
      </c>
      <c r="Q356" s="186">
        <v>3092.7993999999999</v>
      </c>
      <c r="R356" s="183">
        <v>0.4</v>
      </c>
      <c r="S356" s="185">
        <v>-279.60000000000002</v>
      </c>
      <c r="T356" s="185">
        <v>957.51976000000002</v>
      </c>
      <c r="U356" s="185">
        <v>308.77994000000001</v>
      </c>
      <c r="V356" s="187">
        <v>971.16976</v>
      </c>
      <c r="X356" s="185">
        <v>3460</v>
      </c>
      <c r="Y356" s="185">
        <v>2021.4996999999998</v>
      </c>
      <c r="Z356" s="183">
        <v>0.5842484682080924</v>
      </c>
      <c r="AA356" s="185">
        <v>172.20060000000001</v>
      </c>
      <c r="AB356" s="185">
        <v>957.51976000000002</v>
      </c>
      <c r="AC356" s="185">
        <v>308.77994000000001</v>
      </c>
      <c r="AD356" s="185">
        <v>3460</v>
      </c>
      <c r="AE356" s="186">
        <v>10</v>
      </c>
      <c r="AF356" s="183">
        <v>0.2</v>
      </c>
      <c r="AG356" s="186">
        <v>20</v>
      </c>
      <c r="AH356" s="183">
        <v>0.2</v>
      </c>
    </row>
    <row r="357" spans="3:34" x14ac:dyDescent="0.25">
      <c r="C357" s="181">
        <v>3470</v>
      </c>
      <c r="D357" s="183">
        <v>0</v>
      </c>
      <c r="E357" s="185">
        <v>195</v>
      </c>
      <c r="F357" s="181">
        <v>195</v>
      </c>
      <c r="G357" s="185">
        <v>3275</v>
      </c>
      <c r="H357" s="185">
        <v>85.818599999999989</v>
      </c>
      <c r="I357" s="185">
        <v>71.37</v>
      </c>
      <c r="J357" s="185">
        <v>15.011999999999999</v>
      </c>
      <c r="K357" s="181">
        <v>0</v>
      </c>
      <c r="P357" s="186">
        <v>172.20060000000001</v>
      </c>
      <c r="Q357" s="186">
        <v>3102.7993999999999</v>
      </c>
      <c r="R357" s="183">
        <v>0.4</v>
      </c>
      <c r="S357" s="185">
        <v>-279.60000000000002</v>
      </c>
      <c r="T357" s="185">
        <v>961.51976000000002</v>
      </c>
      <c r="U357" s="185">
        <v>309.77994000000001</v>
      </c>
      <c r="V357" s="187">
        <v>975.16976</v>
      </c>
      <c r="X357" s="185">
        <v>3470</v>
      </c>
      <c r="Y357" s="185">
        <v>2026.4996999999998</v>
      </c>
      <c r="Z357" s="183">
        <v>0.58400567723342933</v>
      </c>
      <c r="AA357" s="185">
        <v>172.20060000000001</v>
      </c>
      <c r="AB357" s="185">
        <v>961.51976000000002</v>
      </c>
      <c r="AC357" s="185">
        <v>309.77994000000001</v>
      </c>
      <c r="AD357" s="185">
        <v>3470</v>
      </c>
      <c r="AE357" s="186">
        <v>10</v>
      </c>
      <c r="AF357" s="183">
        <v>0.2</v>
      </c>
      <c r="AG357" s="186">
        <v>20</v>
      </c>
      <c r="AH357" s="183">
        <v>0.2</v>
      </c>
    </row>
    <row r="358" spans="3:34" x14ac:dyDescent="0.25">
      <c r="C358" s="181">
        <v>3480</v>
      </c>
      <c r="D358" s="183">
        <v>0</v>
      </c>
      <c r="E358" s="185">
        <v>195</v>
      </c>
      <c r="F358" s="181">
        <v>195</v>
      </c>
      <c r="G358" s="185">
        <v>3285</v>
      </c>
      <c r="H358" s="185">
        <v>85.818599999999989</v>
      </c>
      <c r="I358" s="185">
        <v>71.37</v>
      </c>
      <c r="J358" s="185">
        <v>15.011999999999999</v>
      </c>
      <c r="K358" s="181">
        <v>0</v>
      </c>
      <c r="P358" s="186">
        <v>172.20060000000001</v>
      </c>
      <c r="Q358" s="186">
        <v>3112.7993999999999</v>
      </c>
      <c r="R358" s="183">
        <v>0.4</v>
      </c>
      <c r="S358" s="185">
        <v>-279.60000000000002</v>
      </c>
      <c r="T358" s="185">
        <v>965.51976000000002</v>
      </c>
      <c r="U358" s="185">
        <v>310.77994000000001</v>
      </c>
      <c r="V358" s="187">
        <v>979.16976</v>
      </c>
      <c r="X358" s="185">
        <v>3480</v>
      </c>
      <c r="Y358" s="185">
        <v>2031.4996999999998</v>
      </c>
      <c r="Z358" s="183">
        <v>0.58376428160919536</v>
      </c>
      <c r="AA358" s="185">
        <v>172.20060000000001</v>
      </c>
      <c r="AB358" s="185">
        <v>965.51976000000002</v>
      </c>
      <c r="AC358" s="185">
        <v>310.77994000000001</v>
      </c>
      <c r="AD358" s="185">
        <v>3480</v>
      </c>
      <c r="AE358" s="186">
        <v>10</v>
      </c>
      <c r="AF358" s="183">
        <v>0.2</v>
      </c>
      <c r="AG358" s="186">
        <v>20</v>
      </c>
      <c r="AH358" s="183">
        <v>0.2</v>
      </c>
    </row>
    <row r="359" spans="3:34" x14ac:dyDescent="0.25">
      <c r="C359" s="181">
        <v>3490</v>
      </c>
      <c r="D359" s="183">
        <v>0</v>
      </c>
      <c r="E359" s="185">
        <v>195</v>
      </c>
      <c r="F359" s="181">
        <v>195</v>
      </c>
      <c r="G359" s="185">
        <v>3295</v>
      </c>
      <c r="H359" s="185">
        <v>85.818599999999989</v>
      </c>
      <c r="I359" s="185">
        <v>71.37</v>
      </c>
      <c r="J359" s="185">
        <v>15.011999999999999</v>
      </c>
      <c r="K359" s="181">
        <v>0</v>
      </c>
      <c r="P359" s="186">
        <v>172.20060000000001</v>
      </c>
      <c r="Q359" s="186">
        <v>3122.7993999999999</v>
      </c>
      <c r="R359" s="183">
        <v>0.4</v>
      </c>
      <c r="S359" s="185">
        <v>-279.60000000000002</v>
      </c>
      <c r="T359" s="185">
        <v>969.51976000000002</v>
      </c>
      <c r="U359" s="185">
        <v>311.77994000000001</v>
      </c>
      <c r="V359" s="187">
        <v>983.16976</v>
      </c>
      <c r="X359" s="185">
        <v>3490</v>
      </c>
      <c r="Y359" s="185">
        <v>2036.4996999999998</v>
      </c>
      <c r="Z359" s="183">
        <v>0.58352426934097412</v>
      </c>
      <c r="AA359" s="185">
        <v>172.20060000000001</v>
      </c>
      <c r="AB359" s="185">
        <v>969.51976000000002</v>
      </c>
      <c r="AC359" s="185">
        <v>311.77994000000001</v>
      </c>
      <c r="AD359" s="185">
        <v>3490</v>
      </c>
      <c r="AE359" s="186">
        <v>10</v>
      </c>
      <c r="AF359" s="183">
        <v>0.2</v>
      </c>
      <c r="AG359" s="186">
        <v>20</v>
      </c>
      <c r="AH359" s="183">
        <v>0.2</v>
      </c>
    </row>
    <row r="360" spans="3:34" x14ac:dyDescent="0.25">
      <c r="C360" s="181">
        <v>3500</v>
      </c>
      <c r="D360" s="183">
        <v>0</v>
      </c>
      <c r="E360" s="185">
        <v>195</v>
      </c>
      <c r="F360" s="181">
        <v>195</v>
      </c>
      <c r="G360" s="185">
        <v>3305</v>
      </c>
      <c r="H360" s="185">
        <v>85.818599999999989</v>
      </c>
      <c r="I360" s="185">
        <v>71.37</v>
      </c>
      <c r="J360" s="185">
        <v>15.011999999999999</v>
      </c>
      <c r="K360" s="181">
        <v>0</v>
      </c>
      <c r="P360" s="186">
        <v>172.20060000000001</v>
      </c>
      <c r="Q360" s="186">
        <v>3132.7993999999999</v>
      </c>
      <c r="R360" s="183">
        <v>0.4</v>
      </c>
      <c r="S360" s="185">
        <v>-279.60000000000002</v>
      </c>
      <c r="T360" s="185">
        <v>973.51976000000002</v>
      </c>
      <c r="U360" s="185">
        <v>312.77994000000001</v>
      </c>
      <c r="V360" s="187">
        <v>987.16976</v>
      </c>
      <c r="X360" s="185">
        <v>3500</v>
      </c>
      <c r="Y360" s="185">
        <v>2041.4996999999998</v>
      </c>
      <c r="Z360" s="183">
        <v>0.58328562857142852</v>
      </c>
      <c r="AA360" s="185">
        <v>172.20060000000001</v>
      </c>
      <c r="AB360" s="185">
        <v>973.51976000000002</v>
      </c>
      <c r="AC360" s="185">
        <v>312.77994000000001</v>
      </c>
      <c r="AD360" s="185">
        <v>3500</v>
      </c>
      <c r="AE360" s="186">
        <v>10</v>
      </c>
      <c r="AF360" s="183">
        <v>0.2</v>
      </c>
      <c r="AG360" s="186">
        <v>20</v>
      </c>
      <c r="AH360" s="183">
        <v>0.2</v>
      </c>
    </row>
    <row r="361" spans="3:34" x14ac:dyDescent="0.25">
      <c r="C361" s="181">
        <v>3510</v>
      </c>
      <c r="D361" s="183">
        <v>0</v>
      </c>
      <c r="E361" s="185">
        <v>195</v>
      </c>
      <c r="F361" s="181">
        <v>195</v>
      </c>
      <c r="G361" s="185">
        <v>3315</v>
      </c>
      <c r="H361" s="185">
        <v>85.818599999999989</v>
      </c>
      <c r="I361" s="185">
        <v>71.37</v>
      </c>
      <c r="J361" s="185">
        <v>15.011999999999999</v>
      </c>
      <c r="K361" s="181">
        <v>0</v>
      </c>
      <c r="P361" s="186">
        <v>172.20060000000001</v>
      </c>
      <c r="Q361" s="186">
        <v>3142.7993999999999</v>
      </c>
      <c r="R361" s="183">
        <v>0.4</v>
      </c>
      <c r="S361" s="185">
        <v>-279.60000000000002</v>
      </c>
      <c r="T361" s="185">
        <v>977.51976000000002</v>
      </c>
      <c r="U361" s="185">
        <v>313.77994000000001</v>
      </c>
      <c r="V361" s="187">
        <v>991.16976</v>
      </c>
      <c r="X361" s="185">
        <v>3510</v>
      </c>
      <c r="Y361" s="185">
        <v>2046.4996999999998</v>
      </c>
      <c r="Z361" s="183">
        <v>0.58304834757834756</v>
      </c>
      <c r="AA361" s="185">
        <v>172.20060000000001</v>
      </c>
      <c r="AB361" s="185">
        <v>977.51976000000002</v>
      </c>
      <c r="AC361" s="185">
        <v>313.77994000000001</v>
      </c>
      <c r="AD361" s="185">
        <v>3510</v>
      </c>
      <c r="AE361" s="186">
        <v>10</v>
      </c>
      <c r="AF361" s="183">
        <v>0.2</v>
      </c>
      <c r="AG361" s="186">
        <v>20</v>
      </c>
      <c r="AH361" s="183">
        <v>0.2</v>
      </c>
    </row>
    <row r="362" spans="3:34" x14ac:dyDescent="0.25">
      <c r="C362" s="181">
        <v>3520</v>
      </c>
      <c r="D362" s="183">
        <v>0</v>
      </c>
      <c r="E362" s="185">
        <v>195</v>
      </c>
      <c r="F362" s="181">
        <v>195</v>
      </c>
      <c r="G362" s="185">
        <v>3325</v>
      </c>
      <c r="H362" s="185">
        <v>85.818599999999989</v>
      </c>
      <c r="I362" s="185">
        <v>71.37</v>
      </c>
      <c r="J362" s="185">
        <v>15.011999999999999</v>
      </c>
      <c r="K362" s="181">
        <v>0</v>
      </c>
      <c r="P362" s="186">
        <v>172.20060000000001</v>
      </c>
      <c r="Q362" s="186">
        <v>3152.7993999999999</v>
      </c>
      <c r="R362" s="183">
        <v>0.4</v>
      </c>
      <c r="S362" s="185">
        <v>-279.60000000000002</v>
      </c>
      <c r="T362" s="185">
        <v>981.51976000000002</v>
      </c>
      <c r="U362" s="185">
        <v>314.77994000000001</v>
      </c>
      <c r="V362" s="187">
        <v>995.16976</v>
      </c>
      <c r="X362" s="185">
        <v>3520</v>
      </c>
      <c r="Y362" s="185">
        <v>2051.4996999999998</v>
      </c>
      <c r="Z362" s="183">
        <v>0.58281241477272727</v>
      </c>
      <c r="AA362" s="185">
        <v>172.20060000000001</v>
      </c>
      <c r="AB362" s="185">
        <v>981.51976000000002</v>
      </c>
      <c r="AC362" s="185">
        <v>314.77994000000001</v>
      </c>
      <c r="AD362" s="185">
        <v>3520</v>
      </c>
      <c r="AE362" s="186">
        <v>10</v>
      </c>
      <c r="AF362" s="183">
        <v>0.2</v>
      </c>
      <c r="AG362" s="186">
        <v>20</v>
      </c>
      <c r="AH362" s="183">
        <v>0.2</v>
      </c>
    </row>
    <row r="363" spans="3:34" x14ac:dyDescent="0.25">
      <c r="C363" s="181">
        <v>3530</v>
      </c>
      <c r="D363" s="183">
        <v>0</v>
      </c>
      <c r="E363" s="185">
        <v>195</v>
      </c>
      <c r="F363" s="181">
        <v>195</v>
      </c>
      <c r="G363" s="185">
        <v>3335</v>
      </c>
      <c r="H363" s="185">
        <v>85.818599999999989</v>
      </c>
      <c r="I363" s="185">
        <v>71.37</v>
      </c>
      <c r="J363" s="185">
        <v>15.011999999999999</v>
      </c>
      <c r="K363" s="181">
        <v>0</v>
      </c>
      <c r="P363" s="186">
        <v>172.20060000000001</v>
      </c>
      <c r="Q363" s="186">
        <v>3162.7993999999999</v>
      </c>
      <c r="R363" s="183">
        <v>0.4</v>
      </c>
      <c r="S363" s="185">
        <v>-279.60000000000002</v>
      </c>
      <c r="T363" s="185">
        <v>985.51976000000002</v>
      </c>
      <c r="U363" s="185">
        <v>315.77994000000001</v>
      </c>
      <c r="V363" s="187">
        <v>999.16976</v>
      </c>
      <c r="X363" s="185">
        <v>3530</v>
      </c>
      <c r="Y363" s="185">
        <v>2056.4996999999998</v>
      </c>
      <c r="Z363" s="183">
        <v>0.58257781869688385</v>
      </c>
      <c r="AA363" s="185">
        <v>172.20060000000001</v>
      </c>
      <c r="AB363" s="185">
        <v>985.51976000000002</v>
      </c>
      <c r="AC363" s="185">
        <v>315.77994000000001</v>
      </c>
      <c r="AD363" s="185">
        <v>3530</v>
      </c>
      <c r="AE363" s="186">
        <v>10</v>
      </c>
      <c r="AF363" s="183">
        <v>0.2</v>
      </c>
      <c r="AG363" s="186">
        <v>20</v>
      </c>
      <c r="AH363" s="183">
        <v>0.2</v>
      </c>
    </row>
    <row r="364" spans="3:34" x14ac:dyDescent="0.25">
      <c r="C364" s="181">
        <v>3540</v>
      </c>
      <c r="D364" s="183">
        <v>0</v>
      </c>
      <c r="E364" s="185">
        <v>195</v>
      </c>
      <c r="F364" s="181">
        <v>195</v>
      </c>
      <c r="G364" s="185">
        <v>3345</v>
      </c>
      <c r="H364" s="185">
        <v>85.818599999999989</v>
      </c>
      <c r="I364" s="185">
        <v>71.37</v>
      </c>
      <c r="J364" s="185">
        <v>15.011999999999999</v>
      </c>
      <c r="K364" s="181">
        <v>0</v>
      </c>
      <c r="P364" s="186">
        <v>172.20060000000001</v>
      </c>
      <c r="Q364" s="186">
        <v>3172.7993999999999</v>
      </c>
      <c r="R364" s="183">
        <v>0.4</v>
      </c>
      <c r="S364" s="185">
        <v>-279.60000000000002</v>
      </c>
      <c r="T364" s="185">
        <v>989.51976000000002</v>
      </c>
      <c r="U364" s="185">
        <v>316.77994000000001</v>
      </c>
      <c r="V364" s="187">
        <v>1003.16976</v>
      </c>
      <c r="X364" s="185">
        <v>3540</v>
      </c>
      <c r="Y364" s="185">
        <v>2061.4996999999998</v>
      </c>
      <c r="Z364" s="183">
        <v>0.58234454802259883</v>
      </c>
      <c r="AA364" s="185">
        <v>172.20060000000001</v>
      </c>
      <c r="AB364" s="185">
        <v>989.51976000000002</v>
      </c>
      <c r="AC364" s="185">
        <v>316.77994000000001</v>
      </c>
      <c r="AD364" s="185">
        <v>3540</v>
      </c>
      <c r="AE364" s="186">
        <v>10</v>
      </c>
      <c r="AF364" s="183">
        <v>0.2</v>
      </c>
      <c r="AG364" s="186">
        <v>20</v>
      </c>
      <c r="AH364" s="183">
        <v>0.2</v>
      </c>
    </row>
    <row r="365" spans="3:34" x14ac:dyDescent="0.25">
      <c r="C365" s="181">
        <v>3550</v>
      </c>
      <c r="D365" s="183">
        <v>0</v>
      </c>
      <c r="E365" s="185">
        <v>195</v>
      </c>
      <c r="F365" s="181">
        <v>195</v>
      </c>
      <c r="G365" s="185">
        <v>3355</v>
      </c>
      <c r="H365" s="185">
        <v>85.818599999999989</v>
      </c>
      <c r="I365" s="185">
        <v>71.37</v>
      </c>
      <c r="J365" s="185">
        <v>15.011999999999999</v>
      </c>
      <c r="K365" s="181">
        <v>0</v>
      </c>
      <c r="P365" s="186">
        <v>172.20060000000001</v>
      </c>
      <c r="Q365" s="186">
        <v>3182.7993999999999</v>
      </c>
      <c r="R365" s="183">
        <v>0.4</v>
      </c>
      <c r="S365" s="185">
        <v>-279.60000000000002</v>
      </c>
      <c r="T365" s="185">
        <v>993.51976000000002</v>
      </c>
      <c r="U365" s="185">
        <v>317.77994000000001</v>
      </c>
      <c r="V365" s="187">
        <v>1007.16976</v>
      </c>
      <c r="X365" s="185">
        <v>3550</v>
      </c>
      <c r="Y365" s="185">
        <v>2066.4996999999998</v>
      </c>
      <c r="Z365" s="183">
        <v>0.58211259154929573</v>
      </c>
      <c r="AA365" s="185">
        <v>172.20060000000001</v>
      </c>
      <c r="AB365" s="185">
        <v>993.51976000000002</v>
      </c>
      <c r="AC365" s="185">
        <v>317.77994000000001</v>
      </c>
      <c r="AD365" s="185">
        <v>3550</v>
      </c>
      <c r="AE365" s="186">
        <v>10</v>
      </c>
      <c r="AF365" s="183">
        <v>0.2</v>
      </c>
      <c r="AG365" s="186">
        <v>20</v>
      </c>
      <c r="AH365" s="183">
        <v>0.2</v>
      </c>
    </row>
    <row r="366" spans="3:34" x14ac:dyDescent="0.25">
      <c r="C366" s="181">
        <v>3560</v>
      </c>
      <c r="D366" s="183">
        <v>0</v>
      </c>
      <c r="E366" s="185">
        <v>195</v>
      </c>
      <c r="F366" s="181">
        <v>195</v>
      </c>
      <c r="G366" s="185">
        <v>3365</v>
      </c>
      <c r="H366" s="185">
        <v>85.818599999999989</v>
      </c>
      <c r="I366" s="185">
        <v>71.37</v>
      </c>
      <c r="J366" s="185">
        <v>15.011999999999999</v>
      </c>
      <c r="K366" s="181">
        <v>0</v>
      </c>
      <c r="P366" s="186">
        <v>172.20060000000001</v>
      </c>
      <c r="Q366" s="186">
        <v>3192.7993999999999</v>
      </c>
      <c r="R366" s="183">
        <v>0.4</v>
      </c>
      <c r="S366" s="185">
        <v>-279.60000000000002</v>
      </c>
      <c r="T366" s="185">
        <v>997.51976000000002</v>
      </c>
      <c r="U366" s="185">
        <v>318.77994000000001</v>
      </c>
      <c r="V366" s="187">
        <v>1011.16976</v>
      </c>
      <c r="X366" s="185">
        <v>3560</v>
      </c>
      <c r="Y366" s="185">
        <v>2071.4996999999998</v>
      </c>
      <c r="Z366" s="183">
        <v>0.5818819382022471</v>
      </c>
      <c r="AA366" s="185">
        <v>172.20060000000001</v>
      </c>
      <c r="AB366" s="185">
        <v>997.51976000000002</v>
      </c>
      <c r="AC366" s="185">
        <v>318.77994000000001</v>
      </c>
      <c r="AD366" s="185">
        <v>3560</v>
      </c>
      <c r="AE366" s="186">
        <v>10</v>
      </c>
      <c r="AF366" s="183">
        <v>0.2</v>
      </c>
      <c r="AG366" s="186">
        <v>20</v>
      </c>
      <c r="AH366" s="183">
        <v>0.2</v>
      </c>
    </row>
    <row r="367" spans="3:34" x14ac:dyDescent="0.25">
      <c r="C367" s="181">
        <v>3570</v>
      </c>
      <c r="D367" s="183">
        <v>0</v>
      </c>
      <c r="E367" s="185">
        <v>195</v>
      </c>
      <c r="F367" s="181">
        <v>195</v>
      </c>
      <c r="G367" s="185">
        <v>3375</v>
      </c>
      <c r="H367" s="185">
        <v>85.818599999999989</v>
      </c>
      <c r="I367" s="185">
        <v>71.37</v>
      </c>
      <c r="J367" s="185">
        <v>15.011999999999999</v>
      </c>
      <c r="K367" s="181">
        <v>0</v>
      </c>
      <c r="P367" s="186">
        <v>172.20060000000001</v>
      </c>
      <c r="Q367" s="186">
        <v>3202.7993999999999</v>
      </c>
      <c r="R367" s="183">
        <v>0.4</v>
      </c>
      <c r="S367" s="185">
        <v>-279.60000000000002</v>
      </c>
      <c r="T367" s="185">
        <v>1001.51976</v>
      </c>
      <c r="U367" s="185">
        <v>319.77994000000001</v>
      </c>
      <c r="V367" s="187">
        <v>1015.16976</v>
      </c>
      <c r="X367" s="185">
        <v>3570</v>
      </c>
      <c r="Y367" s="185">
        <v>2076.4996999999998</v>
      </c>
      <c r="Z367" s="183">
        <v>0.5816525770308123</v>
      </c>
      <c r="AA367" s="185">
        <v>172.20060000000001</v>
      </c>
      <c r="AB367" s="185">
        <v>1001.51976</v>
      </c>
      <c r="AC367" s="185">
        <v>319.77994000000001</v>
      </c>
      <c r="AD367" s="185">
        <v>3570</v>
      </c>
      <c r="AE367" s="186">
        <v>10</v>
      </c>
      <c r="AF367" s="183">
        <v>0.2</v>
      </c>
      <c r="AG367" s="186">
        <v>20</v>
      </c>
      <c r="AH367" s="183">
        <v>0.2</v>
      </c>
    </row>
    <row r="368" spans="3:34" x14ac:dyDescent="0.25">
      <c r="C368" s="181">
        <v>3580</v>
      </c>
      <c r="D368" s="183">
        <v>0</v>
      </c>
      <c r="E368" s="185">
        <v>195</v>
      </c>
      <c r="F368" s="181">
        <v>195</v>
      </c>
      <c r="G368" s="185">
        <v>3385</v>
      </c>
      <c r="H368" s="185">
        <v>85.818599999999989</v>
      </c>
      <c r="I368" s="185">
        <v>71.37</v>
      </c>
      <c r="J368" s="185">
        <v>15.011999999999999</v>
      </c>
      <c r="K368" s="181">
        <v>0</v>
      </c>
      <c r="P368" s="186">
        <v>172.20060000000001</v>
      </c>
      <c r="Q368" s="186">
        <v>3212.7993999999999</v>
      </c>
      <c r="R368" s="183">
        <v>0.4</v>
      </c>
      <c r="S368" s="185">
        <v>-279.60000000000002</v>
      </c>
      <c r="T368" s="185">
        <v>1005.51976</v>
      </c>
      <c r="U368" s="185">
        <v>320.77994000000001</v>
      </c>
      <c r="V368" s="187">
        <v>1019.16976</v>
      </c>
      <c r="X368" s="185">
        <v>3580</v>
      </c>
      <c r="Y368" s="185">
        <v>2081.4996999999998</v>
      </c>
      <c r="Z368" s="183">
        <v>0.58142449720670386</v>
      </c>
      <c r="AA368" s="185">
        <v>172.20060000000001</v>
      </c>
      <c r="AB368" s="185">
        <v>1005.51976</v>
      </c>
      <c r="AC368" s="185">
        <v>320.77994000000001</v>
      </c>
      <c r="AD368" s="185">
        <v>3580</v>
      </c>
      <c r="AE368" s="186">
        <v>10</v>
      </c>
      <c r="AF368" s="183">
        <v>0.2</v>
      </c>
      <c r="AG368" s="186">
        <v>20</v>
      </c>
      <c r="AH368" s="183">
        <v>0.2</v>
      </c>
    </row>
    <row r="369" spans="3:34" x14ac:dyDescent="0.25">
      <c r="C369" s="181">
        <v>3590</v>
      </c>
      <c r="D369" s="183">
        <v>0</v>
      </c>
      <c r="E369" s="185">
        <v>195</v>
      </c>
      <c r="F369" s="181">
        <v>195</v>
      </c>
      <c r="G369" s="185">
        <v>3395</v>
      </c>
      <c r="H369" s="185">
        <v>85.818599999999989</v>
      </c>
      <c r="I369" s="185">
        <v>71.37</v>
      </c>
      <c r="J369" s="185">
        <v>15.011999999999999</v>
      </c>
      <c r="K369" s="181">
        <v>0</v>
      </c>
      <c r="P369" s="186">
        <v>172.20060000000001</v>
      </c>
      <c r="Q369" s="186">
        <v>3222.7993999999999</v>
      </c>
      <c r="R369" s="183">
        <v>0.4</v>
      </c>
      <c r="S369" s="185">
        <v>-279.60000000000002</v>
      </c>
      <c r="T369" s="185">
        <v>1009.51976</v>
      </c>
      <c r="U369" s="185">
        <v>321.77994000000001</v>
      </c>
      <c r="V369" s="187">
        <v>1023.16976</v>
      </c>
      <c r="X369" s="185">
        <v>3590</v>
      </c>
      <c r="Y369" s="185">
        <v>2086.4996999999998</v>
      </c>
      <c r="Z369" s="183">
        <v>0.58119768802228411</v>
      </c>
      <c r="AA369" s="185">
        <v>172.20060000000001</v>
      </c>
      <c r="AB369" s="185">
        <v>1009.51976</v>
      </c>
      <c r="AC369" s="185">
        <v>321.77994000000001</v>
      </c>
      <c r="AD369" s="185">
        <v>3590</v>
      </c>
      <c r="AE369" s="186">
        <v>10</v>
      </c>
      <c r="AF369" s="183">
        <v>0.2</v>
      </c>
      <c r="AG369" s="186">
        <v>20</v>
      </c>
      <c r="AH369" s="183">
        <v>0.2</v>
      </c>
    </row>
    <row r="370" spans="3:34" x14ac:dyDescent="0.25">
      <c r="C370" s="181">
        <v>3600</v>
      </c>
      <c r="D370" s="183">
        <v>0</v>
      </c>
      <c r="E370" s="185">
        <v>195</v>
      </c>
      <c r="F370" s="181">
        <v>195</v>
      </c>
      <c r="G370" s="185">
        <v>3405</v>
      </c>
      <c r="H370" s="185">
        <v>85.818599999999989</v>
      </c>
      <c r="I370" s="185">
        <v>71.37</v>
      </c>
      <c r="J370" s="185">
        <v>15.011999999999999</v>
      </c>
      <c r="K370" s="181">
        <v>0</v>
      </c>
      <c r="P370" s="186">
        <v>172.20060000000001</v>
      </c>
      <c r="Q370" s="186">
        <v>3232.7993999999999</v>
      </c>
      <c r="R370" s="183">
        <v>0.4</v>
      </c>
      <c r="S370" s="185">
        <v>-279.60000000000002</v>
      </c>
      <c r="T370" s="185">
        <v>1013.51976</v>
      </c>
      <c r="U370" s="185">
        <v>322.77994000000001</v>
      </c>
      <c r="V370" s="187">
        <v>1027.16976</v>
      </c>
      <c r="X370" s="185">
        <v>3600</v>
      </c>
      <c r="Y370" s="185">
        <v>2091.4996999999998</v>
      </c>
      <c r="Z370" s="183">
        <v>0.58097213888888888</v>
      </c>
      <c r="AA370" s="185">
        <v>172.20060000000001</v>
      </c>
      <c r="AB370" s="185">
        <v>1013.51976</v>
      </c>
      <c r="AC370" s="185">
        <v>322.77994000000001</v>
      </c>
      <c r="AD370" s="185">
        <v>3600</v>
      </c>
      <c r="AE370" s="186">
        <v>10</v>
      </c>
      <c r="AF370" s="183">
        <v>0.2</v>
      </c>
      <c r="AG370" s="186">
        <v>20</v>
      </c>
      <c r="AH370" s="183">
        <v>0.2</v>
      </c>
    </row>
    <row r="371" spans="3:34" x14ac:dyDescent="0.25">
      <c r="C371" s="181">
        <v>3610</v>
      </c>
      <c r="D371" s="183">
        <v>0</v>
      </c>
      <c r="E371" s="185">
        <v>195</v>
      </c>
      <c r="F371" s="181">
        <v>195</v>
      </c>
      <c r="G371" s="185">
        <v>3415</v>
      </c>
      <c r="H371" s="185">
        <v>85.818599999999989</v>
      </c>
      <c r="I371" s="185">
        <v>71.37</v>
      </c>
      <c r="J371" s="185">
        <v>15.011999999999999</v>
      </c>
      <c r="K371" s="181">
        <v>0</v>
      </c>
      <c r="P371" s="186">
        <v>172.20060000000001</v>
      </c>
      <c r="Q371" s="186">
        <v>3242.7993999999999</v>
      </c>
      <c r="R371" s="183">
        <v>0.4</v>
      </c>
      <c r="S371" s="185">
        <v>-279.60000000000002</v>
      </c>
      <c r="T371" s="185">
        <v>1017.51976</v>
      </c>
      <c r="U371" s="185">
        <v>323.77994000000001</v>
      </c>
      <c r="V371" s="187">
        <v>1031.16976</v>
      </c>
      <c r="X371" s="185">
        <v>3610</v>
      </c>
      <c r="Y371" s="185">
        <v>2096.4996999999998</v>
      </c>
      <c r="Z371" s="183">
        <v>0.58074783933518004</v>
      </c>
      <c r="AA371" s="185">
        <v>172.20060000000001</v>
      </c>
      <c r="AB371" s="185">
        <v>1017.51976</v>
      </c>
      <c r="AC371" s="185">
        <v>323.77994000000001</v>
      </c>
      <c r="AD371" s="185">
        <v>3610</v>
      </c>
      <c r="AE371" s="186">
        <v>10</v>
      </c>
      <c r="AF371" s="183">
        <v>0.2</v>
      </c>
      <c r="AG371" s="186">
        <v>20</v>
      </c>
      <c r="AH371" s="183">
        <v>0.2</v>
      </c>
    </row>
    <row r="372" spans="3:34" x14ac:dyDescent="0.25">
      <c r="C372" s="181">
        <v>3620</v>
      </c>
      <c r="D372" s="183">
        <v>0</v>
      </c>
      <c r="E372" s="185">
        <v>195</v>
      </c>
      <c r="F372" s="181">
        <v>195</v>
      </c>
      <c r="G372" s="185">
        <v>3425</v>
      </c>
      <c r="H372" s="185">
        <v>85.818599999999989</v>
      </c>
      <c r="I372" s="185">
        <v>71.37</v>
      </c>
      <c r="J372" s="185">
        <v>15.011999999999999</v>
      </c>
      <c r="K372" s="181">
        <v>0</v>
      </c>
      <c r="P372" s="186">
        <v>172.20060000000001</v>
      </c>
      <c r="Q372" s="186">
        <v>3252.7993999999999</v>
      </c>
      <c r="R372" s="183">
        <v>0.4</v>
      </c>
      <c r="S372" s="185">
        <v>-279.60000000000002</v>
      </c>
      <c r="T372" s="185">
        <v>1021.51976</v>
      </c>
      <c r="U372" s="185">
        <v>324.77994000000001</v>
      </c>
      <c r="V372" s="187">
        <v>1035.16976</v>
      </c>
      <c r="X372" s="185">
        <v>3620</v>
      </c>
      <c r="Y372" s="185">
        <v>2101.4996999999998</v>
      </c>
      <c r="Z372" s="183">
        <v>0.58052477900552479</v>
      </c>
      <c r="AA372" s="185">
        <v>172.20060000000001</v>
      </c>
      <c r="AB372" s="185">
        <v>1021.51976</v>
      </c>
      <c r="AC372" s="185">
        <v>324.77994000000001</v>
      </c>
      <c r="AD372" s="185">
        <v>3620</v>
      </c>
      <c r="AE372" s="186">
        <v>10</v>
      </c>
      <c r="AF372" s="183">
        <v>0.2</v>
      </c>
      <c r="AG372" s="186">
        <v>20</v>
      </c>
      <c r="AH372" s="183">
        <v>0.2</v>
      </c>
    </row>
    <row r="373" spans="3:34" x14ac:dyDescent="0.25">
      <c r="C373" s="181">
        <v>3630</v>
      </c>
      <c r="D373" s="183">
        <v>0</v>
      </c>
      <c r="E373" s="185">
        <v>195</v>
      </c>
      <c r="F373" s="181">
        <v>195</v>
      </c>
      <c r="G373" s="185">
        <v>3435</v>
      </c>
      <c r="H373" s="185">
        <v>85.818599999999989</v>
      </c>
      <c r="I373" s="185">
        <v>71.37</v>
      </c>
      <c r="J373" s="185">
        <v>15.011999999999999</v>
      </c>
      <c r="K373" s="181">
        <v>0</v>
      </c>
      <c r="P373" s="186">
        <v>172.20060000000001</v>
      </c>
      <c r="Q373" s="186">
        <v>3262.7993999999999</v>
      </c>
      <c r="R373" s="183">
        <v>0.4</v>
      </c>
      <c r="S373" s="185">
        <v>-279.60000000000002</v>
      </c>
      <c r="T373" s="185">
        <v>1025.5197600000001</v>
      </c>
      <c r="U373" s="185">
        <v>325.77994000000001</v>
      </c>
      <c r="V373" s="187">
        <v>1039.1697600000002</v>
      </c>
      <c r="X373" s="185">
        <v>3630</v>
      </c>
      <c r="Y373" s="185">
        <v>2106.4996999999998</v>
      </c>
      <c r="Z373" s="183">
        <v>0.58030294765840218</v>
      </c>
      <c r="AA373" s="185">
        <v>172.20060000000001</v>
      </c>
      <c r="AB373" s="185">
        <v>1025.5197600000001</v>
      </c>
      <c r="AC373" s="185">
        <v>325.77994000000001</v>
      </c>
      <c r="AD373" s="185">
        <v>3630</v>
      </c>
      <c r="AE373" s="186">
        <v>10</v>
      </c>
      <c r="AF373" s="183">
        <v>0.2</v>
      </c>
      <c r="AG373" s="186">
        <v>20</v>
      </c>
      <c r="AH373" s="183">
        <v>0.2</v>
      </c>
    </row>
    <row r="374" spans="3:34" x14ac:dyDescent="0.25">
      <c r="C374" s="181">
        <v>3640</v>
      </c>
      <c r="D374" s="183">
        <v>0</v>
      </c>
      <c r="E374" s="185">
        <v>195</v>
      </c>
      <c r="F374" s="181">
        <v>195</v>
      </c>
      <c r="G374" s="185">
        <v>3445</v>
      </c>
      <c r="H374" s="185">
        <v>85.818599999999989</v>
      </c>
      <c r="I374" s="185">
        <v>71.37</v>
      </c>
      <c r="J374" s="185">
        <v>15.011999999999999</v>
      </c>
      <c r="K374" s="181">
        <v>0</v>
      </c>
      <c r="P374" s="186">
        <v>172.20060000000001</v>
      </c>
      <c r="Q374" s="186">
        <v>3272.7993999999999</v>
      </c>
      <c r="R374" s="183">
        <v>0.4</v>
      </c>
      <c r="S374" s="185">
        <v>-279.60000000000002</v>
      </c>
      <c r="T374" s="185">
        <v>1029.5197600000001</v>
      </c>
      <c r="U374" s="185">
        <v>326.77994000000001</v>
      </c>
      <c r="V374" s="187">
        <v>1043.1697600000002</v>
      </c>
      <c r="X374" s="185">
        <v>3640</v>
      </c>
      <c r="Y374" s="185">
        <v>2111.4996999999998</v>
      </c>
      <c r="Z374" s="183">
        <v>0.58008233516483509</v>
      </c>
      <c r="AA374" s="185">
        <v>172.20060000000001</v>
      </c>
      <c r="AB374" s="185">
        <v>1029.5197600000001</v>
      </c>
      <c r="AC374" s="185">
        <v>326.77994000000001</v>
      </c>
      <c r="AD374" s="185">
        <v>3640</v>
      </c>
      <c r="AE374" s="186">
        <v>10</v>
      </c>
      <c r="AF374" s="183">
        <v>0.2</v>
      </c>
      <c r="AG374" s="186">
        <v>20</v>
      </c>
      <c r="AH374" s="183">
        <v>0.2</v>
      </c>
    </row>
    <row r="375" spans="3:34" x14ac:dyDescent="0.25">
      <c r="C375" s="181">
        <v>3650</v>
      </c>
      <c r="D375" s="183">
        <v>0</v>
      </c>
      <c r="E375" s="185">
        <v>195</v>
      </c>
      <c r="F375" s="181">
        <v>195</v>
      </c>
      <c r="G375" s="185">
        <v>3455</v>
      </c>
      <c r="H375" s="185">
        <v>85.818599999999989</v>
      </c>
      <c r="I375" s="185">
        <v>71.37</v>
      </c>
      <c r="J375" s="185">
        <v>15.011999999999999</v>
      </c>
      <c r="K375" s="181">
        <v>0</v>
      </c>
      <c r="P375" s="186">
        <v>172.20060000000001</v>
      </c>
      <c r="Q375" s="186">
        <v>3282.7993999999999</v>
      </c>
      <c r="R375" s="183">
        <v>0.4</v>
      </c>
      <c r="S375" s="185">
        <v>-279.60000000000002</v>
      </c>
      <c r="T375" s="185">
        <v>1033.5197600000001</v>
      </c>
      <c r="U375" s="185">
        <v>327.77994000000001</v>
      </c>
      <c r="V375" s="187">
        <v>1047.1697600000002</v>
      </c>
      <c r="X375" s="185">
        <v>3650</v>
      </c>
      <c r="Y375" s="185">
        <v>2116.4996999999998</v>
      </c>
      <c r="Z375" s="183">
        <v>0.57986293150684931</v>
      </c>
      <c r="AA375" s="185">
        <v>172.20060000000001</v>
      </c>
      <c r="AB375" s="185">
        <v>1033.5197600000001</v>
      </c>
      <c r="AC375" s="185">
        <v>327.77994000000001</v>
      </c>
      <c r="AD375" s="185">
        <v>3650</v>
      </c>
      <c r="AE375" s="186">
        <v>10</v>
      </c>
      <c r="AF375" s="183">
        <v>0.2</v>
      </c>
      <c r="AG375" s="186">
        <v>20</v>
      </c>
      <c r="AH375" s="183">
        <v>0.2</v>
      </c>
    </row>
    <row r="376" spans="3:34" x14ac:dyDescent="0.25">
      <c r="C376" s="181">
        <v>3660</v>
      </c>
      <c r="D376" s="183">
        <v>0</v>
      </c>
      <c r="E376" s="185">
        <v>195</v>
      </c>
      <c r="F376" s="181">
        <v>195</v>
      </c>
      <c r="G376" s="185">
        <v>3465</v>
      </c>
      <c r="H376" s="185">
        <v>85.818599999999989</v>
      </c>
      <c r="I376" s="185">
        <v>71.37</v>
      </c>
      <c r="J376" s="185">
        <v>15.011999999999999</v>
      </c>
      <c r="K376" s="181">
        <v>0</v>
      </c>
      <c r="P376" s="186">
        <v>172.20060000000001</v>
      </c>
      <c r="Q376" s="186">
        <v>3292.7993999999999</v>
      </c>
      <c r="R376" s="183">
        <v>0.4</v>
      </c>
      <c r="S376" s="185">
        <v>-279.60000000000002</v>
      </c>
      <c r="T376" s="185">
        <v>1037.5197600000001</v>
      </c>
      <c r="U376" s="185">
        <v>328.77994000000001</v>
      </c>
      <c r="V376" s="187">
        <v>1051.1697600000002</v>
      </c>
      <c r="X376" s="185">
        <v>3660</v>
      </c>
      <c r="Y376" s="185">
        <v>2121.4996999999998</v>
      </c>
      <c r="Z376" s="183">
        <v>0.57964472677595624</v>
      </c>
      <c r="AA376" s="185">
        <v>172.20060000000001</v>
      </c>
      <c r="AB376" s="185">
        <v>1037.5197600000001</v>
      </c>
      <c r="AC376" s="185">
        <v>328.77994000000001</v>
      </c>
      <c r="AD376" s="185">
        <v>3660</v>
      </c>
      <c r="AE376" s="186">
        <v>10</v>
      </c>
      <c r="AF376" s="183">
        <v>0.2</v>
      </c>
      <c r="AG376" s="186">
        <v>20</v>
      </c>
      <c r="AH376" s="183">
        <v>0.2</v>
      </c>
    </row>
    <row r="377" spans="3:34" x14ac:dyDescent="0.25">
      <c r="C377" s="181">
        <v>3670</v>
      </c>
      <c r="D377" s="183">
        <v>0</v>
      </c>
      <c r="E377" s="185">
        <v>195</v>
      </c>
      <c r="F377" s="181">
        <v>195</v>
      </c>
      <c r="G377" s="185">
        <v>3475</v>
      </c>
      <c r="H377" s="185">
        <v>85.818599999999989</v>
      </c>
      <c r="I377" s="185">
        <v>71.37</v>
      </c>
      <c r="J377" s="185">
        <v>15.011999999999999</v>
      </c>
      <c r="K377" s="181">
        <v>0</v>
      </c>
      <c r="P377" s="186">
        <v>172.20060000000001</v>
      </c>
      <c r="Q377" s="186">
        <v>3302.7993999999999</v>
      </c>
      <c r="R377" s="183">
        <v>0.4</v>
      </c>
      <c r="S377" s="185">
        <v>-279.60000000000002</v>
      </c>
      <c r="T377" s="185">
        <v>1041.5197600000001</v>
      </c>
      <c r="U377" s="185">
        <v>329.77994000000001</v>
      </c>
      <c r="V377" s="187">
        <v>1055.1697600000002</v>
      </c>
      <c r="X377" s="185">
        <v>3670</v>
      </c>
      <c r="Y377" s="185">
        <v>2126.4996999999998</v>
      </c>
      <c r="Z377" s="183">
        <v>0.57942771117166203</v>
      </c>
      <c r="AA377" s="185">
        <v>172.20060000000001</v>
      </c>
      <c r="AB377" s="185">
        <v>1041.5197600000001</v>
      </c>
      <c r="AC377" s="185">
        <v>329.77994000000001</v>
      </c>
      <c r="AD377" s="185">
        <v>3670</v>
      </c>
      <c r="AE377" s="186">
        <v>10</v>
      </c>
      <c r="AF377" s="183">
        <v>0.2</v>
      </c>
      <c r="AG377" s="186">
        <v>20</v>
      </c>
      <c r="AH377" s="183">
        <v>0.2</v>
      </c>
    </row>
    <row r="378" spans="3:34" x14ac:dyDescent="0.25">
      <c r="C378" s="181">
        <v>3680</v>
      </c>
      <c r="D378" s="183">
        <v>0</v>
      </c>
      <c r="E378" s="185">
        <v>195</v>
      </c>
      <c r="F378" s="181">
        <v>195</v>
      </c>
      <c r="G378" s="185">
        <v>3485</v>
      </c>
      <c r="H378" s="185">
        <v>85.818599999999989</v>
      </c>
      <c r="I378" s="185">
        <v>71.37</v>
      </c>
      <c r="J378" s="185">
        <v>15.011999999999999</v>
      </c>
      <c r="K378" s="181">
        <v>0</v>
      </c>
      <c r="P378" s="186">
        <v>172.20060000000001</v>
      </c>
      <c r="Q378" s="186">
        <v>3312.7993999999999</v>
      </c>
      <c r="R378" s="183">
        <v>0.4</v>
      </c>
      <c r="S378" s="185">
        <v>-279.60000000000002</v>
      </c>
      <c r="T378" s="185">
        <v>1045.5197600000001</v>
      </c>
      <c r="U378" s="185">
        <v>330.77994000000001</v>
      </c>
      <c r="V378" s="187">
        <v>1059.1697600000002</v>
      </c>
      <c r="X378" s="185">
        <v>3680</v>
      </c>
      <c r="Y378" s="185">
        <v>2131.4996999999998</v>
      </c>
      <c r="Z378" s="183">
        <v>0.57921187499999993</v>
      </c>
      <c r="AA378" s="185">
        <v>172.20060000000001</v>
      </c>
      <c r="AB378" s="185">
        <v>1045.5197600000001</v>
      </c>
      <c r="AC378" s="185">
        <v>330.77994000000001</v>
      </c>
      <c r="AD378" s="185">
        <v>3680</v>
      </c>
      <c r="AE378" s="186">
        <v>10</v>
      </c>
      <c r="AF378" s="183">
        <v>0.2</v>
      </c>
      <c r="AG378" s="186">
        <v>20</v>
      </c>
      <c r="AH378" s="183">
        <v>0.2</v>
      </c>
    </row>
    <row r="379" spans="3:34" x14ac:dyDescent="0.25">
      <c r="C379" s="181">
        <v>3690</v>
      </c>
      <c r="D379" s="183">
        <v>0</v>
      </c>
      <c r="E379" s="185">
        <v>195</v>
      </c>
      <c r="F379" s="181">
        <v>195</v>
      </c>
      <c r="G379" s="185">
        <v>3495</v>
      </c>
      <c r="H379" s="185">
        <v>85.818599999999989</v>
      </c>
      <c r="I379" s="185">
        <v>71.37</v>
      </c>
      <c r="J379" s="185">
        <v>15.011999999999999</v>
      </c>
      <c r="K379" s="181">
        <v>0</v>
      </c>
      <c r="P379" s="186">
        <v>172.20060000000001</v>
      </c>
      <c r="Q379" s="186">
        <v>3322.7993999999999</v>
      </c>
      <c r="R379" s="183">
        <v>0.4</v>
      </c>
      <c r="S379" s="185">
        <v>-279.60000000000002</v>
      </c>
      <c r="T379" s="185">
        <v>1049.5197600000001</v>
      </c>
      <c r="U379" s="185">
        <v>331.77994000000001</v>
      </c>
      <c r="V379" s="187">
        <v>1063.1697600000002</v>
      </c>
      <c r="X379" s="185">
        <v>3690</v>
      </c>
      <c r="Y379" s="185">
        <v>2136.4996999999998</v>
      </c>
      <c r="Z379" s="183">
        <v>0.57899720867208671</v>
      </c>
      <c r="AA379" s="185">
        <v>172.20060000000001</v>
      </c>
      <c r="AB379" s="185">
        <v>1049.5197600000001</v>
      </c>
      <c r="AC379" s="185">
        <v>331.77994000000001</v>
      </c>
      <c r="AD379" s="185">
        <v>3690</v>
      </c>
      <c r="AE379" s="186">
        <v>10</v>
      </c>
      <c r="AF379" s="183">
        <v>0.2</v>
      </c>
      <c r="AG379" s="186">
        <v>20</v>
      </c>
      <c r="AH379" s="183">
        <v>0.2</v>
      </c>
    </row>
    <row r="380" spans="3:34" x14ac:dyDescent="0.25">
      <c r="C380" s="181">
        <v>3700</v>
      </c>
      <c r="D380" s="183">
        <v>0</v>
      </c>
      <c r="E380" s="185">
        <v>195</v>
      </c>
      <c r="F380" s="181">
        <v>195</v>
      </c>
      <c r="G380" s="185">
        <v>3505</v>
      </c>
      <c r="H380" s="185">
        <v>85.818599999999989</v>
      </c>
      <c r="I380" s="185">
        <v>71.37</v>
      </c>
      <c r="J380" s="185">
        <v>15.011999999999999</v>
      </c>
      <c r="K380" s="181">
        <v>0</v>
      </c>
      <c r="P380" s="186">
        <v>172.20060000000001</v>
      </c>
      <c r="Q380" s="186">
        <v>3332.7993999999999</v>
      </c>
      <c r="R380" s="183">
        <v>0.4</v>
      </c>
      <c r="S380" s="185">
        <v>-279.60000000000002</v>
      </c>
      <c r="T380" s="185">
        <v>1053.5197600000001</v>
      </c>
      <c r="U380" s="185">
        <v>332.77994000000001</v>
      </c>
      <c r="V380" s="187">
        <v>1067.1697600000002</v>
      </c>
      <c r="X380" s="185">
        <v>3700</v>
      </c>
      <c r="Y380" s="185">
        <v>2141.4996999999998</v>
      </c>
      <c r="Z380" s="183">
        <v>0.57878370270270263</v>
      </c>
      <c r="AA380" s="185">
        <v>172.20060000000001</v>
      </c>
      <c r="AB380" s="185">
        <v>1053.5197600000001</v>
      </c>
      <c r="AC380" s="185">
        <v>332.77994000000001</v>
      </c>
      <c r="AD380" s="185">
        <v>3700</v>
      </c>
      <c r="AE380" s="186">
        <v>10</v>
      </c>
      <c r="AF380" s="183">
        <v>0.2</v>
      </c>
      <c r="AG380" s="186">
        <v>20</v>
      </c>
      <c r="AH380" s="183">
        <v>0.2</v>
      </c>
    </row>
    <row r="381" spans="3:34" x14ac:dyDescent="0.25">
      <c r="C381" s="181">
        <v>3710</v>
      </c>
      <c r="D381" s="183">
        <v>0</v>
      </c>
      <c r="E381" s="185">
        <v>195</v>
      </c>
      <c r="F381" s="181">
        <v>195</v>
      </c>
      <c r="G381" s="185">
        <v>3515</v>
      </c>
      <c r="H381" s="185">
        <v>85.818599999999989</v>
      </c>
      <c r="I381" s="185">
        <v>71.37</v>
      </c>
      <c r="J381" s="185">
        <v>15.011999999999999</v>
      </c>
      <c r="K381" s="181">
        <v>0</v>
      </c>
      <c r="P381" s="186">
        <v>172.20060000000001</v>
      </c>
      <c r="Q381" s="186">
        <v>3342.7993999999999</v>
      </c>
      <c r="R381" s="183">
        <v>0.4</v>
      </c>
      <c r="S381" s="185">
        <v>-279.60000000000002</v>
      </c>
      <c r="T381" s="185">
        <v>1057.5197600000001</v>
      </c>
      <c r="U381" s="185">
        <v>333.77994000000001</v>
      </c>
      <c r="V381" s="187">
        <v>1071.1697600000002</v>
      </c>
      <c r="X381" s="185">
        <v>3710</v>
      </c>
      <c r="Y381" s="185">
        <v>2146.4996999999998</v>
      </c>
      <c r="Z381" s="183">
        <v>0.57857134770889485</v>
      </c>
      <c r="AA381" s="185">
        <v>172.20060000000001</v>
      </c>
      <c r="AB381" s="185">
        <v>1057.5197600000001</v>
      </c>
      <c r="AC381" s="185">
        <v>333.77994000000001</v>
      </c>
      <c r="AD381" s="185">
        <v>3710</v>
      </c>
      <c r="AE381" s="186">
        <v>10</v>
      </c>
      <c r="AF381" s="183">
        <v>0.2</v>
      </c>
      <c r="AG381" s="186">
        <v>20</v>
      </c>
      <c r="AH381" s="183">
        <v>0.2</v>
      </c>
    </row>
    <row r="382" spans="3:34" x14ac:dyDescent="0.25">
      <c r="C382" s="181">
        <v>3720</v>
      </c>
      <c r="D382" s="183">
        <v>0</v>
      </c>
      <c r="E382" s="185">
        <v>195</v>
      </c>
      <c r="F382" s="181">
        <v>195</v>
      </c>
      <c r="G382" s="185">
        <v>3525</v>
      </c>
      <c r="H382" s="185">
        <v>85.818599999999989</v>
      </c>
      <c r="I382" s="185">
        <v>71.37</v>
      </c>
      <c r="J382" s="185">
        <v>15.011999999999999</v>
      </c>
      <c r="K382" s="181">
        <v>0</v>
      </c>
      <c r="P382" s="186">
        <v>172.20060000000001</v>
      </c>
      <c r="Q382" s="186">
        <v>3352.7993999999999</v>
      </c>
      <c r="R382" s="183">
        <v>0.4</v>
      </c>
      <c r="S382" s="185">
        <v>-279.60000000000002</v>
      </c>
      <c r="T382" s="185">
        <v>1061.5197600000001</v>
      </c>
      <c r="U382" s="185">
        <v>334.77994000000001</v>
      </c>
      <c r="V382" s="187">
        <v>1075.1697600000002</v>
      </c>
      <c r="X382" s="185">
        <v>3720</v>
      </c>
      <c r="Y382" s="185">
        <v>2151.4996999999998</v>
      </c>
      <c r="Z382" s="183">
        <v>0.57836013440860212</v>
      </c>
      <c r="AA382" s="185">
        <v>172.20060000000001</v>
      </c>
      <c r="AB382" s="185">
        <v>1061.5197600000001</v>
      </c>
      <c r="AC382" s="185">
        <v>334.77994000000001</v>
      </c>
      <c r="AD382" s="185">
        <v>3720</v>
      </c>
      <c r="AE382" s="186">
        <v>10</v>
      </c>
      <c r="AF382" s="183">
        <v>0.2</v>
      </c>
      <c r="AG382" s="186">
        <v>20</v>
      </c>
      <c r="AH382" s="183">
        <v>0.2</v>
      </c>
    </row>
    <row r="383" spans="3:34" x14ac:dyDescent="0.25">
      <c r="C383" s="181">
        <v>3730</v>
      </c>
      <c r="D383" s="183">
        <v>0</v>
      </c>
      <c r="E383" s="185">
        <v>195</v>
      </c>
      <c r="F383" s="181">
        <v>195</v>
      </c>
      <c r="G383" s="185">
        <v>3535</v>
      </c>
      <c r="H383" s="185">
        <v>85.818599999999989</v>
      </c>
      <c r="I383" s="185">
        <v>71.37</v>
      </c>
      <c r="J383" s="185">
        <v>15.011999999999999</v>
      </c>
      <c r="K383" s="181">
        <v>0</v>
      </c>
      <c r="P383" s="186">
        <v>172.20060000000001</v>
      </c>
      <c r="Q383" s="186">
        <v>3362.7993999999999</v>
      </c>
      <c r="R383" s="183">
        <v>0.4</v>
      </c>
      <c r="S383" s="185">
        <v>-279.60000000000002</v>
      </c>
      <c r="T383" s="185">
        <v>1065.5197600000001</v>
      </c>
      <c r="U383" s="185">
        <v>335.77994000000001</v>
      </c>
      <c r="V383" s="187">
        <v>1079.1697600000002</v>
      </c>
      <c r="X383" s="185">
        <v>3730</v>
      </c>
      <c r="Y383" s="185">
        <v>2156.4996999999998</v>
      </c>
      <c r="Z383" s="183">
        <v>0.57815005361930294</v>
      </c>
      <c r="AA383" s="185">
        <v>172.20060000000001</v>
      </c>
      <c r="AB383" s="185">
        <v>1065.5197600000001</v>
      </c>
      <c r="AC383" s="185">
        <v>335.77994000000001</v>
      </c>
      <c r="AD383" s="185">
        <v>3730</v>
      </c>
      <c r="AE383" s="186">
        <v>10</v>
      </c>
      <c r="AF383" s="183">
        <v>0.2</v>
      </c>
      <c r="AG383" s="186">
        <v>20</v>
      </c>
      <c r="AH383" s="183">
        <v>0.2</v>
      </c>
    </row>
    <row r="384" spans="3:34" x14ac:dyDescent="0.25">
      <c r="C384" s="181">
        <v>3740</v>
      </c>
      <c r="D384" s="183">
        <v>0</v>
      </c>
      <c r="E384" s="185">
        <v>195</v>
      </c>
      <c r="F384" s="181">
        <v>195</v>
      </c>
      <c r="G384" s="185">
        <v>3545</v>
      </c>
      <c r="H384" s="185">
        <v>85.818599999999989</v>
      </c>
      <c r="I384" s="185">
        <v>71.37</v>
      </c>
      <c r="J384" s="185">
        <v>15.011999999999999</v>
      </c>
      <c r="K384" s="181">
        <v>0</v>
      </c>
      <c r="P384" s="186">
        <v>172.20060000000001</v>
      </c>
      <c r="Q384" s="186">
        <v>3372.7993999999999</v>
      </c>
      <c r="R384" s="183">
        <v>0.4</v>
      </c>
      <c r="S384" s="185">
        <v>-279.60000000000002</v>
      </c>
      <c r="T384" s="185">
        <v>1069.5197600000001</v>
      </c>
      <c r="U384" s="185">
        <v>336.77994000000001</v>
      </c>
      <c r="V384" s="187">
        <v>1083.1697600000002</v>
      </c>
      <c r="X384" s="185">
        <v>3740</v>
      </c>
      <c r="Y384" s="185">
        <v>2161.4996999999998</v>
      </c>
      <c r="Z384" s="183">
        <v>0.57794109625668444</v>
      </c>
      <c r="AA384" s="185">
        <v>172.20060000000001</v>
      </c>
      <c r="AB384" s="185">
        <v>1069.5197600000001</v>
      </c>
      <c r="AC384" s="185">
        <v>336.77994000000001</v>
      </c>
      <c r="AD384" s="185">
        <v>3740</v>
      </c>
      <c r="AE384" s="186">
        <v>10</v>
      </c>
      <c r="AF384" s="183">
        <v>0.2</v>
      </c>
      <c r="AG384" s="186">
        <v>20</v>
      </c>
      <c r="AH384" s="183">
        <v>0.2</v>
      </c>
    </row>
    <row r="385" spans="3:34" x14ac:dyDescent="0.25">
      <c r="C385" s="181">
        <v>3750</v>
      </c>
      <c r="D385" s="183">
        <v>0</v>
      </c>
      <c r="E385" s="185">
        <v>195</v>
      </c>
      <c r="F385" s="181">
        <v>195</v>
      </c>
      <c r="G385" s="185">
        <v>3555</v>
      </c>
      <c r="H385" s="185">
        <v>85.818599999999989</v>
      </c>
      <c r="I385" s="185">
        <v>71.37</v>
      </c>
      <c r="J385" s="185">
        <v>15.011999999999999</v>
      </c>
      <c r="K385" s="181">
        <v>0</v>
      </c>
      <c r="P385" s="186">
        <v>172.20060000000001</v>
      </c>
      <c r="Q385" s="186">
        <v>3382.7993999999999</v>
      </c>
      <c r="R385" s="183">
        <v>0.4</v>
      </c>
      <c r="S385" s="185">
        <v>-279.60000000000002</v>
      </c>
      <c r="T385" s="185">
        <v>1073.5197600000001</v>
      </c>
      <c r="U385" s="185">
        <v>337.77994000000001</v>
      </c>
      <c r="V385" s="187">
        <v>1087.1697600000002</v>
      </c>
      <c r="X385" s="185">
        <v>3750</v>
      </c>
      <c r="Y385" s="185">
        <v>2166.4996999999998</v>
      </c>
      <c r="Z385" s="183">
        <v>0.57773325333333325</v>
      </c>
      <c r="AA385" s="185">
        <v>172.20060000000001</v>
      </c>
      <c r="AB385" s="185">
        <v>1073.5197600000001</v>
      </c>
      <c r="AC385" s="185">
        <v>337.77994000000001</v>
      </c>
      <c r="AD385" s="185">
        <v>3750</v>
      </c>
      <c r="AE385" s="186">
        <v>10</v>
      </c>
      <c r="AF385" s="183">
        <v>0.2</v>
      </c>
      <c r="AG385" s="186">
        <v>20</v>
      </c>
      <c r="AH385" s="183">
        <v>0.2</v>
      </c>
    </row>
    <row r="386" spans="3:34" x14ac:dyDescent="0.25">
      <c r="C386" s="181">
        <v>3760</v>
      </c>
      <c r="D386" s="183">
        <v>0</v>
      </c>
      <c r="E386" s="185">
        <v>195</v>
      </c>
      <c r="F386" s="181">
        <v>195</v>
      </c>
      <c r="G386" s="185">
        <v>3565</v>
      </c>
      <c r="H386" s="185">
        <v>85.818599999999989</v>
      </c>
      <c r="I386" s="185">
        <v>71.37</v>
      </c>
      <c r="J386" s="185">
        <v>15.011999999999999</v>
      </c>
      <c r="K386" s="181">
        <v>0</v>
      </c>
      <c r="P386" s="186">
        <v>172.20060000000001</v>
      </c>
      <c r="Q386" s="186">
        <v>3392.7993999999999</v>
      </c>
      <c r="R386" s="183">
        <v>0.4</v>
      </c>
      <c r="S386" s="185">
        <v>-279.60000000000002</v>
      </c>
      <c r="T386" s="185">
        <v>1077.5197600000001</v>
      </c>
      <c r="U386" s="185">
        <v>338.77994000000001</v>
      </c>
      <c r="V386" s="187">
        <v>1091.1697600000002</v>
      </c>
      <c r="X386" s="185">
        <v>3760</v>
      </c>
      <c r="Y386" s="185">
        <v>2171.4996999999998</v>
      </c>
      <c r="Z386" s="183">
        <v>0.57752651595744675</v>
      </c>
      <c r="AA386" s="185">
        <v>172.20060000000001</v>
      </c>
      <c r="AB386" s="185">
        <v>1077.5197600000001</v>
      </c>
      <c r="AC386" s="185">
        <v>338.77994000000001</v>
      </c>
      <c r="AD386" s="185">
        <v>3760</v>
      </c>
      <c r="AE386" s="186">
        <v>10</v>
      </c>
      <c r="AF386" s="183">
        <v>0.2</v>
      </c>
      <c r="AG386" s="186">
        <v>20</v>
      </c>
      <c r="AH386" s="183">
        <v>0.2</v>
      </c>
    </row>
    <row r="387" spans="3:34" x14ac:dyDescent="0.25">
      <c r="C387" s="181">
        <v>3770</v>
      </c>
      <c r="D387" s="183">
        <v>0</v>
      </c>
      <c r="E387" s="185">
        <v>195</v>
      </c>
      <c r="F387" s="181">
        <v>195</v>
      </c>
      <c r="G387" s="185">
        <v>3575</v>
      </c>
      <c r="H387" s="185">
        <v>85.818599999999989</v>
      </c>
      <c r="I387" s="185">
        <v>71.37</v>
      </c>
      <c r="J387" s="185">
        <v>15.011999999999999</v>
      </c>
      <c r="K387" s="181">
        <v>0</v>
      </c>
      <c r="P387" s="186">
        <v>172.20060000000001</v>
      </c>
      <c r="Q387" s="186">
        <v>3402.7993999999999</v>
      </c>
      <c r="R387" s="183">
        <v>0.4</v>
      </c>
      <c r="S387" s="185">
        <v>-279.60000000000002</v>
      </c>
      <c r="T387" s="185">
        <v>1081.5197600000001</v>
      </c>
      <c r="U387" s="185">
        <v>339.77994000000001</v>
      </c>
      <c r="V387" s="187">
        <v>1095.1697600000002</v>
      </c>
      <c r="X387" s="185">
        <v>3770</v>
      </c>
      <c r="Y387" s="185">
        <v>2176.4996999999998</v>
      </c>
      <c r="Z387" s="183">
        <v>0.57732087533156495</v>
      </c>
      <c r="AA387" s="185">
        <v>172.20060000000001</v>
      </c>
      <c r="AB387" s="185">
        <v>1081.5197600000001</v>
      </c>
      <c r="AC387" s="185">
        <v>339.77994000000001</v>
      </c>
      <c r="AD387" s="185">
        <v>3770</v>
      </c>
      <c r="AE387" s="186">
        <v>10</v>
      </c>
      <c r="AF387" s="183">
        <v>0.2</v>
      </c>
      <c r="AG387" s="186">
        <v>20</v>
      </c>
      <c r="AH387" s="183">
        <v>0.2</v>
      </c>
    </row>
    <row r="388" spans="3:34" x14ac:dyDescent="0.25">
      <c r="C388" s="181">
        <v>3780</v>
      </c>
      <c r="D388" s="183">
        <v>0</v>
      </c>
      <c r="E388" s="185">
        <v>195</v>
      </c>
      <c r="F388" s="181">
        <v>195</v>
      </c>
      <c r="G388" s="185">
        <v>3585</v>
      </c>
      <c r="H388" s="185">
        <v>85.818599999999989</v>
      </c>
      <c r="I388" s="185">
        <v>71.37</v>
      </c>
      <c r="J388" s="185">
        <v>15.011999999999999</v>
      </c>
      <c r="K388" s="181">
        <v>0</v>
      </c>
      <c r="P388" s="186">
        <v>172.20060000000001</v>
      </c>
      <c r="Q388" s="186">
        <v>3412.7993999999999</v>
      </c>
      <c r="R388" s="183">
        <v>0.4</v>
      </c>
      <c r="S388" s="185">
        <v>-279.60000000000002</v>
      </c>
      <c r="T388" s="185">
        <v>1085.5197600000001</v>
      </c>
      <c r="U388" s="185">
        <v>340.77994000000001</v>
      </c>
      <c r="V388" s="187">
        <v>1099.1697600000002</v>
      </c>
      <c r="X388" s="185">
        <v>3780</v>
      </c>
      <c r="Y388" s="185">
        <v>2181.4996999999998</v>
      </c>
      <c r="Z388" s="183">
        <v>0.57711632275132274</v>
      </c>
      <c r="AA388" s="185">
        <v>172.20060000000001</v>
      </c>
      <c r="AB388" s="185">
        <v>1085.5197600000001</v>
      </c>
      <c r="AC388" s="185">
        <v>340.77994000000001</v>
      </c>
      <c r="AD388" s="185">
        <v>3780</v>
      </c>
      <c r="AE388" s="186">
        <v>10</v>
      </c>
      <c r="AF388" s="183">
        <v>0.2</v>
      </c>
      <c r="AG388" s="186">
        <v>20</v>
      </c>
      <c r="AH388" s="183">
        <v>0.2</v>
      </c>
    </row>
    <row r="389" spans="3:34" x14ac:dyDescent="0.25">
      <c r="C389" s="181">
        <v>3790</v>
      </c>
      <c r="D389" s="183">
        <v>0</v>
      </c>
      <c r="E389" s="185">
        <v>195</v>
      </c>
      <c r="F389" s="181">
        <v>195</v>
      </c>
      <c r="G389" s="185">
        <v>3595</v>
      </c>
      <c r="H389" s="185">
        <v>85.818599999999989</v>
      </c>
      <c r="I389" s="185">
        <v>71.37</v>
      </c>
      <c r="J389" s="185">
        <v>15.011999999999999</v>
      </c>
      <c r="K389" s="181">
        <v>0</v>
      </c>
      <c r="P389" s="186">
        <v>172.20060000000001</v>
      </c>
      <c r="Q389" s="186">
        <v>3422.7993999999999</v>
      </c>
      <c r="R389" s="183">
        <v>0.4</v>
      </c>
      <c r="S389" s="185">
        <v>-279.60000000000002</v>
      </c>
      <c r="T389" s="185">
        <v>1089.5197600000001</v>
      </c>
      <c r="U389" s="185">
        <v>341.77994000000001</v>
      </c>
      <c r="V389" s="187">
        <v>1103.1697600000002</v>
      </c>
      <c r="X389" s="185">
        <v>3790</v>
      </c>
      <c r="Y389" s="185">
        <v>2186.4996999999998</v>
      </c>
      <c r="Z389" s="183">
        <v>0.57691284960422162</v>
      </c>
      <c r="AA389" s="185">
        <v>172.20060000000001</v>
      </c>
      <c r="AB389" s="185">
        <v>1089.5197600000001</v>
      </c>
      <c r="AC389" s="185">
        <v>341.77994000000001</v>
      </c>
      <c r="AD389" s="185">
        <v>3790</v>
      </c>
      <c r="AE389" s="186">
        <v>10</v>
      </c>
      <c r="AF389" s="183">
        <v>0.2</v>
      </c>
      <c r="AG389" s="186">
        <v>20</v>
      </c>
      <c r="AH389" s="183">
        <v>0.2</v>
      </c>
    </row>
    <row r="390" spans="3:34" x14ac:dyDescent="0.25">
      <c r="C390" s="181">
        <v>3800</v>
      </c>
      <c r="D390" s="183">
        <v>0</v>
      </c>
      <c r="E390" s="185">
        <v>195</v>
      </c>
      <c r="F390" s="181">
        <v>195</v>
      </c>
      <c r="G390" s="185">
        <v>3605</v>
      </c>
      <c r="H390" s="185">
        <v>85.818599999999989</v>
      </c>
      <c r="I390" s="185">
        <v>71.37</v>
      </c>
      <c r="J390" s="185">
        <v>15.011999999999999</v>
      </c>
      <c r="K390" s="181">
        <v>0</v>
      </c>
      <c r="P390" s="186">
        <v>172.20060000000001</v>
      </c>
      <c r="Q390" s="186">
        <v>3432.7993999999999</v>
      </c>
      <c r="R390" s="183">
        <v>0.4</v>
      </c>
      <c r="S390" s="185">
        <v>-279.60000000000002</v>
      </c>
      <c r="T390" s="185">
        <v>1093.5197600000001</v>
      </c>
      <c r="U390" s="185">
        <v>342.77994000000001</v>
      </c>
      <c r="V390" s="187">
        <v>1107.1697600000002</v>
      </c>
      <c r="X390" s="185">
        <v>3800</v>
      </c>
      <c r="Y390" s="185">
        <v>2191.4996999999998</v>
      </c>
      <c r="Z390" s="183">
        <v>0.57671044736842103</v>
      </c>
      <c r="AA390" s="185">
        <v>172.20060000000001</v>
      </c>
      <c r="AB390" s="185">
        <v>1093.5197600000001</v>
      </c>
      <c r="AC390" s="185">
        <v>342.77994000000001</v>
      </c>
      <c r="AD390" s="185">
        <v>3800</v>
      </c>
      <c r="AE390" s="186">
        <v>10</v>
      </c>
      <c r="AF390" s="183">
        <v>0.2</v>
      </c>
      <c r="AG390" s="186">
        <v>20</v>
      </c>
      <c r="AH390" s="183">
        <v>0.2</v>
      </c>
    </row>
    <row r="391" spans="3:34" x14ac:dyDescent="0.25">
      <c r="C391" s="181">
        <v>3810</v>
      </c>
      <c r="D391" s="183">
        <v>0</v>
      </c>
      <c r="E391" s="185">
        <v>195</v>
      </c>
      <c r="F391" s="181">
        <v>195</v>
      </c>
      <c r="G391" s="185">
        <v>3615</v>
      </c>
      <c r="H391" s="185">
        <v>85.818599999999989</v>
      </c>
      <c r="I391" s="185">
        <v>71.37</v>
      </c>
      <c r="J391" s="185">
        <v>15.011999999999999</v>
      </c>
      <c r="K391" s="181">
        <v>0</v>
      </c>
      <c r="P391" s="186">
        <v>172.20060000000001</v>
      </c>
      <c r="Q391" s="186">
        <v>3442.7993999999999</v>
      </c>
      <c r="R391" s="183">
        <v>0.4</v>
      </c>
      <c r="S391" s="185">
        <v>-279.60000000000002</v>
      </c>
      <c r="T391" s="185">
        <v>1097.5197600000001</v>
      </c>
      <c r="U391" s="185">
        <v>343.77994000000001</v>
      </c>
      <c r="V391" s="187">
        <v>1111.1697600000002</v>
      </c>
      <c r="X391" s="185">
        <v>3810</v>
      </c>
      <c r="Y391" s="185">
        <v>2196.4996999999998</v>
      </c>
      <c r="Z391" s="183">
        <v>0.5765091076115485</v>
      </c>
      <c r="AA391" s="185">
        <v>172.20060000000001</v>
      </c>
      <c r="AB391" s="185">
        <v>1097.5197600000001</v>
      </c>
      <c r="AC391" s="185">
        <v>343.77994000000001</v>
      </c>
      <c r="AD391" s="185">
        <v>3810</v>
      </c>
      <c r="AE391" s="186">
        <v>10</v>
      </c>
      <c r="AF391" s="183">
        <v>0.2</v>
      </c>
      <c r="AG391" s="186">
        <v>20</v>
      </c>
      <c r="AH391" s="183">
        <v>0.2</v>
      </c>
    </row>
    <row r="392" spans="3:34" x14ac:dyDescent="0.25">
      <c r="C392" s="181">
        <v>3820</v>
      </c>
      <c r="D392" s="183">
        <v>0</v>
      </c>
      <c r="E392" s="185">
        <v>195</v>
      </c>
      <c r="F392" s="181">
        <v>195</v>
      </c>
      <c r="G392" s="185">
        <v>3625</v>
      </c>
      <c r="H392" s="185">
        <v>85.818599999999989</v>
      </c>
      <c r="I392" s="185">
        <v>71.37</v>
      </c>
      <c r="J392" s="185">
        <v>15.011999999999999</v>
      </c>
      <c r="K392" s="181">
        <v>0</v>
      </c>
      <c r="P392" s="186">
        <v>172.20060000000001</v>
      </c>
      <c r="Q392" s="186">
        <v>3452.7993999999999</v>
      </c>
      <c r="R392" s="183">
        <v>0.4</v>
      </c>
      <c r="S392" s="185">
        <v>-279.60000000000002</v>
      </c>
      <c r="T392" s="185">
        <v>1101.5197600000001</v>
      </c>
      <c r="U392" s="185">
        <v>344.77994000000001</v>
      </c>
      <c r="V392" s="187">
        <v>1115.1697600000002</v>
      </c>
      <c r="X392" s="185">
        <v>3820</v>
      </c>
      <c r="Y392" s="185">
        <v>2201.4996999999998</v>
      </c>
      <c r="Z392" s="183">
        <v>0.57630882198952871</v>
      </c>
      <c r="AA392" s="185">
        <v>172.20060000000001</v>
      </c>
      <c r="AB392" s="185">
        <v>1101.5197600000001</v>
      </c>
      <c r="AC392" s="185">
        <v>344.77994000000001</v>
      </c>
      <c r="AD392" s="185">
        <v>3820</v>
      </c>
      <c r="AE392" s="186">
        <v>10</v>
      </c>
      <c r="AF392" s="183">
        <v>0.2</v>
      </c>
      <c r="AG392" s="186">
        <v>20</v>
      </c>
      <c r="AH392" s="183">
        <v>0.2</v>
      </c>
    </row>
    <row r="393" spans="3:34" x14ac:dyDescent="0.25">
      <c r="C393" s="181">
        <v>3830</v>
      </c>
      <c r="D393" s="183">
        <v>0</v>
      </c>
      <c r="E393" s="185">
        <v>195</v>
      </c>
      <c r="F393" s="181">
        <v>195</v>
      </c>
      <c r="G393" s="185">
        <v>3635</v>
      </c>
      <c r="H393" s="185">
        <v>85.818599999999989</v>
      </c>
      <c r="I393" s="185">
        <v>71.37</v>
      </c>
      <c r="J393" s="185">
        <v>15.011999999999999</v>
      </c>
      <c r="K393" s="181">
        <v>0</v>
      </c>
      <c r="P393" s="186">
        <v>172.20060000000001</v>
      </c>
      <c r="Q393" s="186">
        <v>3462.7993999999999</v>
      </c>
      <c r="R393" s="183">
        <v>0.4</v>
      </c>
      <c r="S393" s="185">
        <v>-279.60000000000002</v>
      </c>
      <c r="T393" s="185">
        <v>1105.5197600000001</v>
      </c>
      <c r="U393" s="185">
        <v>345.77994000000001</v>
      </c>
      <c r="V393" s="187">
        <v>1119.1697600000002</v>
      </c>
      <c r="X393" s="185">
        <v>3830</v>
      </c>
      <c r="Y393" s="185">
        <v>2206.4996999999998</v>
      </c>
      <c r="Z393" s="183">
        <v>0.57610958224543074</v>
      </c>
      <c r="AA393" s="185">
        <v>172.20060000000001</v>
      </c>
      <c r="AB393" s="185">
        <v>1105.5197600000001</v>
      </c>
      <c r="AC393" s="185">
        <v>345.77994000000001</v>
      </c>
      <c r="AD393" s="185">
        <v>3830</v>
      </c>
      <c r="AE393" s="186">
        <v>10</v>
      </c>
      <c r="AF393" s="183">
        <v>0.2</v>
      </c>
      <c r="AG393" s="186">
        <v>20</v>
      </c>
      <c r="AH393" s="183">
        <v>0.2</v>
      </c>
    </row>
    <row r="394" spans="3:34" x14ac:dyDescent="0.25">
      <c r="C394" s="181">
        <v>3840</v>
      </c>
      <c r="D394" s="183">
        <v>0</v>
      </c>
      <c r="E394" s="185">
        <v>195</v>
      </c>
      <c r="F394" s="181">
        <v>195</v>
      </c>
      <c r="G394" s="185">
        <v>3645</v>
      </c>
      <c r="H394" s="185">
        <v>85.818599999999989</v>
      </c>
      <c r="I394" s="185">
        <v>71.37</v>
      </c>
      <c r="J394" s="185">
        <v>15.011999999999999</v>
      </c>
      <c r="K394" s="181">
        <v>0</v>
      </c>
      <c r="P394" s="186">
        <v>172.20060000000001</v>
      </c>
      <c r="Q394" s="186">
        <v>3472.7993999999999</v>
      </c>
      <c r="R394" s="183">
        <v>0.4</v>
      </c>
      <c r="S394" s="185">
        <v>-279.60000000000002</v>
      </c>
      <c r="T394" s="185">
        <v>1109.5197600000001</v>
      </c>
      <c r="U394" s="185">
        <v>346.77994000000001</v>
      </c>
      <c r="V394" s="187">
        <v>1123.1697600000002</v>
      </c>
      <c r="X394" s="185">
        <v>3840</v>
      </c>
      <c r="Y394" s="185">
        <v>2211.4996999999998</v>
      </c>
      <c r="Z394" s="183">
        <v>0.57591138020833332</v>
      </c>
      <c r="AA394" s="185">
        <v>172.20060000000001</v>
      </c>
      <c r="AB394" s="185">
        <v>1109.5197600000001</v>
      </c>
      <c r="AC394" s="185">
        <v>346.77994000000001</v>
      </c>
      <c r="AD394" s="185">
        <v>3840</v>
      </c>
      <c r="AE394" s="186">
        <v>10</v>
      </c>
      <c r="AF394" s="183">
        <v>0.2</v>
      </c>
      <c r="AG394" s="186">
        <v>20</v>
      </c>
      <c r="AH394" s="183">
        <v>0.2</v>
      </c>
    </row>
    <row r="395" spans="3:34" x14ac:dyDescent="0.25">
      <c r="C395" s="181">
        <v>3850</v>
      </c>
      <c r="D395" s="183">
        <v>0</v>
      </c>
      <c r="E395" s="185">
        <v>195</v>
      </c>
      <c r="F395" s="181">
        <v>195</v>
      </c>
      <c r="G395" s="185">
        <v>3655</v>
      </c>
      <c r="H395" s="185">
        <v>85.818599999999989</v>
      </c>
      <c r="I395" s="185">
        <v>71.37</v>
      </c>
      <c r="J395" s="185">
        <v>15.011999999999999</v>
      </c>
      <c r="K395" s="181">
        <v>0</v>
      </c>
      <c r="P395" s="186">
        <v>172.20060000000001</v>
      </c>
      <c r="Q395" s="186">
        <v>3482.7993999999999</v>
      </c>
      <c r="R395" s="183">
        <v>0.4</v>
      </c>
      <c r="S395" s="185">
        <v>-279.60000000000002</v>
      </c>
      <c r="T395" s="185">
        <v>1113.5197600000001</v>
      </c>
      <c r="U395" s="185">
        <v>347.77994000000001</v>
      </c>
      <c r="V395" s="187">
        <v>1127.1697600000002</v>
      </c>
      <c r="X395" s="185">
        <v>3850</v>
      </c>
      <c r="Y395" s="185">
        <v>2216.4996999999998</v>
      </c>
      <c r="Z395" s="183">
        <v>0.57571420779220772</v>
      </c>
      <c r="AA395" s="185">
        <v>172.20060000000001</v>
      </c>
      <c r="AB395" s="185">
        <v>1113.5197600000001</v>
      </c>
      <c r="AC395" s="185">
        <v>347.77994000000001</v>
      </c>
      <c r="AD395" s="185">
        <v>3850</v>
      </c>
      <c r="AE395" s="186">
        <v>10</v>
      </c>
      <c r="AF395" s="183">
        <v>0.2</v>
      </c>
      <c r="AG395" s="186">
        <v>20</v>
      </c>
      <c r="AH395" s="183">
        <v>0.2</v>
      </c>
    </row>
    <row r="396" spans="3:34" x14ac:dyDescent="0.25">
      <c r="C396" s="181">
        <v>3860</v>
      </c>
      <c r="D396" s="183">
        <v>0</v>
      </c>
      <c r="E396" s="185">
        <v>195</v>
      </c>
      <c r="F396" s="181">
        <v>195</v>
      </c>
      <c r="G396" s="185">
        <v>3665</v>
      </c>
      <c r="H396" s="185">
        <v>85.818599999999989</v>
      </c>
      <c r="I396" s="185">
        <v>71.37</v>
      </c>
      <c r="J396" s="185">
        <v>15.011999999999999</v>
      </c>
      <c r="K396" s="181">
        <v>0</v>
      </c>
      <c r="P396" s="186">
        <v>172.20060000000001</v>
      </c>
      <c r="Q396" s="186">
        <v>3492.7993999999999</v>
      </c>
      <c r="R396" s="183">
        <v>0.4</v>
      </c>
      <c r="S396" s="185">
        <v>-279.60000000000002</v>
      </c>
      <c r="T396" s="185">
        <v>1117.5197600000001</v>
      </c>
      <c r="U396" s="185">
        <v>348.77994000000001</v>
      </c>
      <c r="V396" s="187">
        <v>1131.1697600000002</v>
      </c>
      <c r="X396" s="185">
        <v>3860</v>
      </c>
      <c r="Y396" s="185">
        <v>2221.4996999999998</v>
      </c>
      <c r="Z396" s="183">
        <v>0.57551805699481862</v>
      </c>
      <c r="AA396" s="185">
        <v>172.20060000000001</v>
      </c>
      <c r="AB396" s="185">
        <v>1117.5197600000001</v>
      </c>
      <c r="AC396" s="185">
        <v>348.77994000000001</v>
      </c>
      <c r="AD396" s="185">
        <v>3860</v>
      </c>
      <c r="AE396" s="186">
        <v>10</v>
      </c>
      <c r="AF396" s="183">
        <v>0.2</v>
      </c>
      <c r="AG396" s="186">
        <v>20</v>
      </c>
      <c r="AH396" s="183">
        <v>0.2</v>
      </c>
    </row>
    <row r="397" spans="3:34" x14ac:dyDescent="0.25">
      <c r="C397" s="181">
        <v>3870</v>
      </c>
      <c r="D397" s="183">
        <v>0</v>
      </c>
      <c r="E397" s="185">
        <v>195</v>
      </c>
      <c r="F397" s="181">
        <v>195</v>
      </c>
      <c r="G397" s="185">
        <v>3675</v>
      </c>
      <c r="H397" s="185">
        <v>85.818599999999989</v>
      </c>
      <c r="I397" s="185">
        <v>71.37</v>
      </c>
      <c r="J397" s="185">
        <v>15.011999999999999</v>
      </c>
      <c r="K397" s="181">
        <v>0</v>
      </c>
      <c r="P397" s="186">
        <v>172.20060000000001</v>
      </c>
      <c r="Q397" s="186">
        <v>3502.7993999999999</v>
      </c>
      <c r="R397" s="183">
        <v>0.4</v>
      </c>
      <c r="S397" s="185">
        <v>-279.60000000000002</v>
      </c>
      <c r="T397" s="185">
        <v>1121.5197600000001</v>
      </c>
      <c r="U397" s="185">
        <v>349.77994000000001</v>
      </c>
      <c r="V397" s="187">
        <v>1135.1697600000002</v>
      </c>
      <c r="X397" s="185">
        <v>3870</v>
      </c>
      <c r="Y397" s="185">
        <v>2226.4996999999998</v>
      </c>
      <c r="Z397" s="183">
        <v>0.57532291989664075</v>
      </c>
      <c r="AA397" s="185">
        <v>172.20060000000001</v>
      </c>
      <c r="AB397" s="185">
        <v>1121.5197600000001</v>
      </c>
      <c r="AC397" s="185">
        <v>349.77994000000001</v>
      </c>
      <c r="AD397" s="185">
        <v>3870</v>
      </c>
      <c r="AE397" s="186">
        <v>10</v>
      </c>
      <c r="AF397" s="183">
        <v>0.2</v>
      </c>
      <c r="AG397" s="186">
        <v>20</v>
      </c>
      <c r="AH397" s="183">
        <v>0.2</v>
      </c>
    </row>
    <row r="398" spans="3:34" x14ac:dyDescent="0.25">
      <c r="C398" s="181">
        <v>3880</v>
      </c>
      <c r="D398" s="183">
        <v>0</v>
      </c>
      <c r="E398" s="185">
        <v>195</v>
      </c>
      <c r="F398" s="181">
        <v>195</v>
      </c>
      <c r="G398" s="185">
        <v>3685</v>
      </c>
      <c r="H398" s="185">
        <v>85.818599999999989</v>
      </c>
      <c r="I398" s="185">
        <v>71.37</v>
      </c>
      <c r="J398" s="185">
        <v>15.011999999999999</v>
      </c>
      <c r="K398" s="181">
        <v>0</v>
      </c>
      <c r="P398" s="186">
        <v>172.20060000000001</v>
      </c>
      <c r="Q398" s="186">
        <v>3512.7993999999999</v>
      </c>
      <c r="R398" s="183">
        <v>0.4</v>
      </c>
      <c r="S398" s="185">
        <v>-279.60000000000002</v>
      </c>
      <c r="T398" s="185">
        <v>1125.5197600000001</v>
      </c>
      <c r="U398" s="185">
        <v>350.77994000000001</v>
      </c>
      <c r="V398" s="187">
        <v>1139.1697600000002</v>
      </c>
      <c r="X398" s="185">
        <v>3880</v>
      </c>
      <c r="Y398" s="185">
        <v>2231.4996999999998</v>
      </c>
      <c r="Z398" s="183">
        <v>0.57512878865979378</v>
      </c>
      <c r="AA398" s="185">
        <v>172.20060000000001</v>
      </c>
      <c r="AB398" s="185">
        <v>1125.5197600000001</v>
      </c>
      <c r="AC398" s="185">
        <v>350.77994000000001</v>
      </c>
      <c r="AD398" s="185">
        <v>3880</v>
      </c>
      <c r="AE398" s="186">
        <v>10</v>
      </c>
      <c r="AF398" s="183">
        <v>0.2</v>
      </c>
      <c r="AG398" s="186">
        <v>20</v>
      </c>
      <c r="AH398" s="183">
        <v>0.2</v>
      </c>
    </row>
    <row r="399" spans="3:34" x14ac:dyDescent="0.25">
      <c r="C399" s="181">
        <v>3890</v>
      </c>
      <c r="D399" s="183">
        <v>0</v>
      </c>
      <c r="E399" s="185">
        <v>195</v>
      </c>
      <c r="F399" s="181">
        <v>195</v>
      </c>
      <c r="G399" s="185">
        <v>3695</v>
      </c>
      <c r="H399" s="185">
        <v>85.818599999999989</v>
      </c>
      <c r="I399" s="185">
        <v>71.37</v>
      </c>
      <c r="J399" s="185">
        <v>15.011999999999999</v>
      </c>
      <c r="K399" s="181">
        <v>0</v>
      </c>
      <c r="P399" s="186">
        <v>172.20060000000001</v>
      </c>
      <c r="Q399" s="186">
        <v>3522.7993999999999</v>
      </c>
      <c r="R399" s="183">
        <v>0.4</v>
      </c>
      <c r="S399" s="185">
        <v>-279.60000000000002</v>
      </c>
      <c r="T399" s="185">
        <v>1129.5197600000001</v>
      </c>
      <c r="U399" s="185">
        <v>351.77994000000001</v>
      </c>
      <c r="V399" s="187">
        <v>1143.1697600000002</v>
      </c>
      <c r="X399" s="185">
        <v>3890</v>
      </c>
      <c r="Y399" s="185">
        <v>2236.4996999999998</v>
      </c>
      <c r="Z399" s="183">
        <v>0.57493565552699222</v>
      </c>
      <c r="AA399" s="185">
        <v>172.20060000000001</v>
      </c>
      <c r="AB399" s="185">
        <v>1129.5197600000001</v>
      </c>
      <c r="AC399" s="185">
        <v>351.77994000000001</v>
      </c>
      <c r="AD399" s="185">
        <v>3890</v>
      </c>
      <c r="AE399" s="186">
        <v>10</v>
      </c>
      <c r="AF399" s="183">
        <v>0.2</v>
      </c>
      <c r="AG399" s="186">
        <v>20</v>
      </c>
      <c r="AH399" s="183">
        <v>0.2</v>
      </c>
    </row>
    <row r="400" spans="3:34" x14ac:dyDescent="0.25">
      <c r="C400" s="181">
        <v>3900</v>
      </c>
      <c r="D400" s="183">
        <v>0</v>
      </c>
      <c r="E400" s="185">
        <v>195</v>
      </c>
      <c r="F400" s="181">
        <v>195</v>
      </c>
      <c r="G400" s="185">
        <v>3705</v>
      </c>
      <c r="H400" s="185">
        <v>85.818599999999989</v>
      </c>
      <c r="I400" s="185">
        <v>71.37</v>
      </c>
      <c r="J400" s="185">
        <v>15.011999999999999</v>
      </c>
      <c r="K400" s="181">
        <v>0</v>
      </c>
      <c r="P400" s="186">
        <v>172.20060000000001</v>
      </c>
      <c r="Q400" s="186">
        <v>3532.7993999999999</v>
      </c>
      <c r="R400" s="183">
        <v>0.4</v>
      </c>
      <c r="S400" s="185">
        <v>-279.60000000000002</v>
      </c>
      <c r="T400" s="185">
        <v>1133.5197600000001</v>
      </c>
      <c r="U400" s="185">
        <v>352.77994000000001</v>
      </c>
      <c r="V400" s="187">
        <v>1147.1697600000002</v>
      </c>
      <c r="X400" s="185">
        <v>3900</v>
      </c>
      <c r="Y400" s="185">
        <v>2241.4996999999998</v>
      </c>
      <c r="Z400" s="183">
        <v>0.57474351282051284</v>
      </c>
      <c r="AA400" s="185">
        <v>172.20060000000001</v>
      </c>
      <c r="AB400" s="185">
        <v>1133.5197600000001</v>
      </c>
      <c r="AC400" s="185">
        <v>352.77994000000001</v>
      </c>
      <c r="AD400" s="185">
        <v>3900</v>
      </c>
      <c r="AE400" s="186">
        <v>10</v>
      </c>
      <c r="AF400" s="183">
        <v>0.2</v>
      </c>
      <c r="AG400" s="186">
        <v>20</v>
      </c>
      <c r="AH400" s="183">
        <v>0.2</v>
      </c>
    </row>
    <row r="401" spans="3:34" x14ac:dyDescent="0.25">
      <c r="C401" s="181">
        <v>3910</v>
      </c>
      <c r="D401" s="183">
        <v>0</v>
      </c>
      <c r="E401" s="185">
        <v>195</v>
      </c>
      <c r="F401" s="181">
        <v>195</v>
      </c>
      <c r="G401" s="185">
        <v>3715</v>
      </c>
      <c r="H401" s="185">
        <v>85.818599999999989</v>
      </c>
      <c r="I401" s="185">
        <v>71.37</v>
      </c>
      <c r="J401" s="185">
        <v>15.011999999999999</v>
      </c>
      <c r="K401" s="181">
        <v>0</v>
      </c>
      <c r="P401" s="186">
        <v>172.20060000000001</v>
      </c>
      <c r="Q401" s="186">
        <v>3542.7993999999999</v>
      </c>
      <c r="R401" s="183">
        <v>0.4</v>
      </c>
      <c r="S401" s="185">
        <v>-279.60000000000002</v>
      </c>
      <c r="T401" s="185">
        <v>1137.5197600000001</v>
      </c>
      <c r="U401" s="185">
        <v>353.77994000000001</v>
      </c>
      <c r="V401" s="187">
        <v>1151.1697600000002</v>
      </c>
      <c r="X401" s="185">
        <v>3910</v>
      </c>
      <c r="Y401" s="185">
        <v>2246.4996999999998</v>
      </c>
      <c r="Z401" s="183">
        <v>0.57455235294117646</v>
      </c>
      <c r="AA401" s="185">
        <v>172.20060000000001</v>
      </c>
      <c r="AB401" s="185">
        <v>1137.5197600000001</v>
      </c>
      <c r="AC401" s="185">
        <v>353.77994000000001</v>
      </c>
      <c r="AD401" s="185">
        <v>3910</v>
      </c>
      <c r="AE401" s="186">
        <v>10</v>
      </c>
      <c r="AF401" s="183">
        <v>0.2</v>
      </c>
      <c r="AG401" s="186">
        <v>20</v>
      </c>
      <c r="AH401" s="183">
        <v>0.2</v>
      </c>
    </row>
    <row r="402" spans="3:34" x14ac:dyDescent="0.25">
      <c r="C402" s="181">
        <v>3920</v>
      </c>
      <c r="D402" s="183">
        <v>0</v>
      </c>
      <c r="E402" s="185">
        <v>195</v>
      </c>
      <c r="F402" s="181">
        <v>195</v>
      </c>
      <c r="G402" s="185">
        <v>3725</v>
      </c>
      <c r="H402" s="185">
        <v>85.818599999999989</v>
      </c>
      <c r="I402" s="185">
        <v>71.37</v>
      </c>
      <c r="J402" s="185">
        <v>15.011999999999999</v>
      </c>
      <c r="K402" s="181">
        <v>0</v>
      </c>
      <c r="P402" s="186">
        <v>172.20060000000001</v>
      </c>
      <c r="Q402" s="186">
        <v>3552.7993999999999</v>
      </c>
      <c r="R402" s="183">
        <v>0.4</v>
      </c>
      <c r="S402" s="185">
        <v>-279.60000000000002</v>
      </c>
      <c r="T402" s="185">
        <v>1141.5197600000001</v>
      </c>
      <c r="U402" s="185">
        <v>354.77994000000001</v>
      </c>
      <c r="V402" s="187">
        <v>1155.1697600000002</v>
      </c>
      <c r="X402" s="185">
        <v>3920</v>
      </c>
      <c r="Y402" s="185">
        <v>2251.4996999999998</v>
      </c>
      <c r="Z402" s="183">
        <v>0.57436216836734688</v>
      </c>
      <c r="AA402" s="185">
        <v>172.20060000000001</v>
      </c>
      <c r="AB402" s="185">
        <v>1141.5197600000001</v>
      </c>
      <c r="AC402" s="185">
        <v>354.77994000000001</v>
      </c>
      <c r="AD402" s="185">
        <v>3920</v>
      </c>
      <c r="AE402" s="186">
        <v>10</v>
      </c>
      <c r="AF402" s="183">
        <v>0.2</v>
      </c>
      <c r="AG402" s="186">
        <v>20</v>
      </c>
      <c r="AH402" s="183">
        <v>0.2</v>
      </c>
    </row>
    <row r="403" spans="3:34" x14ac:dyDescent="0.25">
      <c r="C403" s="181">
        <v>3930</v>
      </c>
      <c r="D403" s="183">
        <v>0</v>
      </c>
      <c r="E403" s="185">
        <v>195</v>
      </c>
      <c r="F403" s="181">
        <v>195</v>
      </c>
      <c r="G403" s="185">
        <v>3735</v>
      </c>
      <c r="H403" s="185">
        <v>85.818599999999989</v>
      </c>
      <c r="I403" s="185">
        <v>71.37</v>
      </c>
      <c r="J403" s="185">
        <v>15.011999999999999</v>
      </c>
      <c r="K403" s="181">
        <v>0</v>
      </c>
      <c r="P403" s="186">
        <v>172.20060000000001</v>
      </c>
      <c r="Q403" s="186">
        <v>3562.7993999999999</v>
      </c>
      <c r="R403" s="183">
        <v>0.4</v>
      </c>
      <c r="S403" s="185">
        <v>-279.60000000000002</v>
      </c>
      <c r="T403" s="185">
        <v>1145.5197600000001</v>
      </c>
      <c r="U403" s="185">
        <v>355.77994000000001</v>
      </c>
      <c r="V403" s="187">
        <v>1159.1697600000002</v>
      </c>
      <c r="X403" s="185">
        <v>3930</v>
      </c>
      <c r="Y403" s="185">
        <v>2256.4996999999998</v>
      </c>
      <c r="Z403" s="183">
        <v>0.574172951653944</v>
      </c>
      <c r="AA403" s="185">
        <v>172.20060000000001</v>
      </c>
      <c r="AB403" s="185">
        <v>1145.5197600000001</v>
      </c>
      <c r="AC403" s="185">
        <v>355.77994000000001</v>
      </c>
      <c r="AD403" s="185">
        <v>3930</v>
      </c>
      <c r="AE403" s="186">
        <v>10</v>
      </c>
      <c r="AF403" s="183">
        <v>0.2</v>
      </c>
      <c r="AG403" s="186">
        <v>20</v>
      </c>
      <c r="AH403" s="183">
        <v>0.2</v>
      </c>
    </row>
    <row r="404" spans="3:34" x14ac:dyDescent="0.25">
      <c r="C404" s="181">
        <v>3940</v>
      </c>
      <c r="D404" s="183">
        <v>0</v>
      </c>
      <c r="E404" s="185">
        <v>195</v>
      </c>
      <c r="F404" s="181">
        <v>195</v>
      </c>
      <c r="G404" s="185">
        <v>3745</v>
      </c>
      <c r="H404" s="185">
        <v>85.818599999999989</v>
      </c>
      <c r="I404" s="185">
        <v>71.37</v>
      </c>
      <c r="J404" s="185">
        <v>15.011999999999999</v>
      </c>
      <c r="K404" s="181">
        <v>0</v>
      </c>
      <c r="P404" s="186">
        <v>172.20060000000001</v>
      </c>
      <c r="Q404" s="186">
        <v>3572.7993999999999</v>
      </c>
      <c r="R404" s="183">
        <v>0.4</v>
      </c>
      <c r="S404" s="185">
        <v>-279.60000000000002</v>
      </c>
      <c r="T404" s="185">
        <v>1149.5197600000001</v>
      </c>
      <c r="U404" s="185">
        <v>356.77994000000001</v>
      </c>
      <c r="V404" s="187">
        <v>1163.1697600000002</v>
      </c>
      <c r="X404" s="185">
        <v>3940</v>
      </c>
      <c r="Y404" s="185">
        <v>2261.4996999999998</v>
      </c>
      <c r="Z404" s="183">
        <v>0.57398469543147201</v>
      </c>
      <c r="AA404" s="185">
        <v>172.20060000000001</v>
      </c>
      <c r="AB404" s="185">
        <v>1149.5197600000001</v>
      </c>
      <c r="AC404" s="185">
        <v>356.77994000000001</v>
      </c>
      <c r="AD404" s="185">
        <v>3940</v>
      </c>
      <c r="AE404" s="186">
        <v>10</v>
      </c>
      <c r="AF404" s="183">
        <v>0.2</v>
      </c>
      <c r="AG404" s="186">
        <v>20</v>
      </c>
      <c r="AH404" s="183">
        <v>0.2</v>
      </c>
    </row>
    <row r="405" spans="3:34" x14ac:dyDescent="0.25">
      <c r="C405" s="181">
        <v>3950</v>
      </c>
      <c r="D405" s="183">
        <v>0</v>
      </c>
      <c r="E405" s="185">
        <v>195</v>
      </c>
      <c r="F405" s="181">
        <v>195</v>
      </c>
      <c r="G405" s="185">
        <v>3755</v>
      </c>
      <c r="H405" s="185">
        <v>85.818599999999989</v>
      </c>
      <c r="I405" s="185">
        <v>71.37</v>
      </c>
      <c r="J405" s="185">
        <v>15.011999999999999</v>
      </c>
      <c r="K405" s="181">
        <v>0</v>
      </c>
      <c r="P405" s="186">
        <v>172.20060000000001</v>
      </c>
      <c r="Q405" s="186">
        <v>3582.7993999999999</v>
      </c>
      <c r="R405" s="183">
        <v>0.4</v>
      </c>
      <c r="S405" s="185">
        <v>-279.60000000000002</v>
      </c>
      <c r="T405" s="185">
        <v>1153.5197600000001</v>
      </c>
      <c r="U405" s="185">
        <v>357.77994000000001</v>
      </c>
      <c r="V405" s="187">
        <v>1167.1697600000002</v>
      </c>
      <c r="X405" s="185">
        <v>3950</v>
      </c>
      <c r="Y405" s="185">
        <v>2266.4996999999998</v>
      </c>
      <c r="Z405" s="183">
        <v>0.57379739240506322</v>
      </c>
      <c r="AA405" s="185">
        <v>172.20060000000001</v>
      </c>
      <c r="AB405" s="185">
        <v>1153.5197600000001</v>
      </c>
      <c r="AC405" s="185">
        <v>357.77994000000001</v>
      </c>
      <c r="AD405" s="185">
        <v>3950</v>
      </c>
      <c r="AE405" s="186">
        <v>10</v>
      </c>
      <c r="AF405" s="183">
        <v>0.2</v>
      </c>
      <c r="AG405" s="186">
        <v>20</v>
      </c>
      <c r="AH405" s="183">
        <v>0.2</v>
      </c>
    </row>
    <row r="406" spans="3:34" x14ac:dyDescent="0.25">
      <c r="C406" s="181">
        <v>3960</v>
      </c>
      <c r="D406" s="183">
        <v>0</v>
      </c>
      <c r="E406" s="185">
        <v>195</v>
      </c>
      <c r="F406" s="181">
        <v>195</v>
      </c>
      <c r="G406" s="185">
        <v>3765</v>
      </c>
      <c r="H406" s="185">
        <v>85.818599999999989</v>
      </c>
      <c r="I406" s="185">
        <v>71.37</v>
      </c>
      <c r="J406" s="185">
        <v>15.011999999999999</v>
      </c>
      <c r="K406" s="181">
        <v>0</v>
      </c>
      <c r="P406" s="186">
        <v>172.20060000000001</v>
      </c>
      <c r="Q406" s="186">
        <v>3592.7993999999999</v>
      </c>
      <c r="R406" s="183">
        <v>0.4</v>
      </c>
      <c r="S406" s="185">
        <v>-279.60000000000002</v>
      </c>
      <c r="T406" s="185">
        <v>1157.5197600000001</v>
      </c>
      <c r="U406" s="185">
        <v>358.77994000000001</v>
      </c>
      <c r="V406" s="187">
        <v>1171.1697600000002</v>
      </c>
      <c r="X406" s="185">
        <v>3960</v>
      </c>
      <c r="Y406" s="185">
        <v>2271.4996999999998</v>
      </c>
      <c r="Z406" s="183">
        <v>0.5736110353535353</v>
      </c>
      <c r="AA406" s="185">
        <v>172.20060000000001</v>
      </c>
      <c r="AB406" s="185">
        <v>1157.5197600000001</v>
      </c>
      <c r="AC406" s="185">
        <v>358.77994000000001</v>
      </c>
      <c r="AD406" s="185">
        <v>3960</v>
      </c>
      <c r="AE406" s="186">
        <v>10</v>
      </c>
      <c r="AF406" s="183">
        <v>0.2</v>
      </c>
      <c r="AG406" s="186">
        <v>20</v>
      </c>
      <c r="AH406" s="183">
        <v>0.2</v>
      </c>
    </row>
    <row r="407" spans="3:34" x14ac:dyDescent="0.25">
      <c r="C407" s="181">
        <v>3970</v>
      </c>
      <c r="D407" s="183">
        <v>0</v>
      </c>
      <c r="E407" s="185">
        <v>195</v>
      </c>
      <c r="F407" s="181">
        <v>195</v>
      </c>
      <c r="G407" s="185">
        <v>3775</v>
      </c>
      <c r="H407" s="185">
        <v>85.818599999999989</v>
      </c>
      <c r="I407" s="185">
        <v>71.37</v>
      </c>
      <c r="J407" s="185">
        <v>15.011999999999999</v>
      </c>
      <c r="K407" s="181">
        <v>0</v>
      </c>
      <c r="P407" s="186">
        <v>172.20060000000001</v>
      </c>
      <c r="Q407" s="186">
        <v>3602.7993999999999</v>
      </c>
      <c r="R407" s="183">
        <v>0.4</v>
      </c>
      <c r="S407" s="185">
        <v>-279.60000000000002</v>
      </c>
      <c r="T407" s="185">
        <v>1161.5197600000001</v>
      </c>
      <c r="U407" s="185">
        <v>359.77994000000001</v>
      </c>
      <c r="V407" s="187">
        <v>1175.1697600000002</v>
      </c>
      <c r="X407" s="185">
        <v>3970</v>
      </c>
      <c r="Y407" s="185">
        <v>2276.4996999999998</v>
      </c>
      <c r="Z407" s="183">
        <v>0.57342561712846341</v>
      </c>
      <c r="AA407" s="185">
        <v>172.20060000000001</v>
      </c>
      <c r="AB407" s="185">
        <v>1161.5197600000001</v>
      </c>
      <c r="AC407" s="185">
        <v>359.77994000000001</v>
      </c>
      <c r="AD407" s="185">
        <v>3970</v>
      </c>
      <c r="AE407" s="186">
        <v>10</v>
      </c>
      <c r="AF407" s="183">
        <v>0.2</v>
      </c>
      <c r="AG407" s="186">
        <v>20</v>
      </c>
      <c r="AH407" s="183">
        <v>0.2</v>
      </c>
    </row>
    <row r="408" spans="3:34" x14ac:dyDescent="0.25">
      <c r="C408" s="181">
        <v>3980</v>
      </c>
      <c r="D408" s="183">
        <v>0</v>
      </c>
      <c r="E408" s="185">
        <v>195</v>
      </c>
      <c r="F408" s="181">
        <v>195</v>
      </c>
      <c r="G408" s="185">
        <v>3785</v>
      </c>
      <c r="H408" s="185">
        <v>85.818599999999989</v>
      </c>
      <c r="I408" s="185">
        <v>71.37</v>
      </c>
      <c r="J408" s="185">
        <v>15.011999999999999</v>
      </c>
      <c r="K408" s="181">
        <v>0</v>
      </c>
      <c r="P408" s="186">
        <v>172.20060000000001</v>
      </c>
      <c r="Q408" s="186">
        <v>3612.7993999999999</v>
      </c>
      <c r="R408" s="183">
        <v>0.4</v>
      </c>
      <c r="S408" s="185">
        <v>-279.60000000000002</v>
      </c>
      <c r="T408" s="185">
        <v>1165.5197600000001</v>
      </c>
      <c r="U408" s="185">
        <v>360.77994000000001</v>
      </c>
      <c r="V408" s="187">
        <v>1179.1697600000002</v>
      </c>
      <c r="X408" s="185">
        <v>3980</v>
      </c>
      <c r="Y408" s="185">
        <v>2281.4996999999998</v>
      </c>
      <c r="Z408" s="183">
        <v>0.57324113065326632</v>
      </c>
      <c r="AA408" s="185">
        <v>172.20060000000001</v>
      </c>
      <c r="AB408" s="185">
        <v>1165.5197600000001</v>
      </c>
      <c r="AC408" s="185">
        <v>360.77994000000001</v>
      </c>
      <c r="AD408" s="185">
        <v>3980</v>
      </c>
      <c r="AE408" s="186">
        <v>10</v>
      </c>
      <c r="AF408" s="183">
        <v>0.2</v>
      </c>
      <c r="AG408" s="186">
        <v>20</v>
      </c>
      <c r="AH408" s="183">
        <v>0.2</v>
      </c>
    </row>
    <row r="409" spans="3:34" x14ac:dyDescent="0.25">
      <c r="C409" s="181">
        <v>3990</v>
      </c>
      <c r="D409" s="183">
        <v>0</v>
      </c>
      <c r="E409" s="185">
        <v>195</v>
      </c>
      <c r="F409" s="181">
        <v>195</v>
      </c>
      <c r="G409" s="185">
        <v>3795</v>
      </c>
      <c r="H409" s="185">
        <v>85.818599999999989</v>
      </c>
      <c r="I409" s="185">
        <v>71.37</v>
      </c>
      <c r="J409" s="185">
        <v>15.011999999999999</v>
      </c>
      <c r="K409" s="181">
        <v>0</v>
      </c>
      <c r="P409" s="186">
        <v>172.20060000000001</v>
      </c>
      <c r="Q409" s="186">
        <v>3622.7993999999999</v>
      </c>
      <c r="R409" s="183">
        <v>0.4</v>
      </c>
      <c r="S409" s="185">
        <v>-279.60000000000002</v>
      </c>
      <c r="T409" s="185">
        <v>1169.5197600000001</v>
      </c>
      <c r="U409" s="185">
        <v>361.77994000000001</v>
      </c>
      <c r="V409" s="187">
        <v>1183.1697600000002</v>
      </c>
      <c r="X409" s="185">
        <v>3990</v>
      </c>
      <c r="Y409" s="185">
        <v>2286.4996999999998</v>
      </c>
      <c r="Z409" s="183">
        <v>0.57305756892230575</v>
      </c>
      <c r="AA409" s="185">
        <v>172.20060000000001</v>
      </c>
      <c r="AB409" s="185">
        <v>1169.5197600000001</v>
      </c>
      <c r="AC409" s="185">
        <v>361.77994000000001</v>
      </c>
      <c r="AD409" s="185">
        <v>3990</v>
      </c>
      <c r="AE409" s="186">
        <v>10</v>
      </c>
      <c r="AF409" s="183">
        <v>0.2</v>
      </c>
      <c r="AG409" s="186">
        <v>20</v>
      </c>
      <c r="AH409" s="183">
        <v>0.2</v>
      </c>
    </row>
    <row r="410" spans="3:34" x14ac:dyDescent="0.25">
      <c r="C410" s="181">
        <v>4000</v>
      </c>
      <c r="D410" s="183">
        <v>0</v>
      </c>
      <c r="E410" s="185">
        <v>195</v>
      </c>
      <c r="F410" s="181">
        <v>195</v>
      </c>
      <c r="G410" s="185">
        <v>3805</v>
      </c>
      <c r="H410" s="185">
        <v>85.818599999999989</v>
      </c>
      <c r="I410" s="185">
        <v>71.37</v>
      </c>
      <c r="J410" s="185">
        <v>15.011999999999999</v>
      </c>
      <c r="K410" s="181">
        <v>0</v>
      </c>
      <c r="P410" s="186">
        <v>172.20060000000001</v>
      </c>
      <c r="Q410" s="186">
        <v>3632.7993999999999</v>
      </c>
      <c r="R410" s="183">
        <v>0.4</v>
      </c>
      <c r="S410" s="185">
        <v>-279.60000000000002</v>
      </c>
      <c r="T410" s="185">
        <v>1173.5197600000001</v>
      </c>
      <c r="U410" s="185">
        <v>362.77994000000001</v>
      </c>
      <c r="V410" s="187">
        <v>1187.1697600000002</v>
      </c>
      <c r="X410" s="185">
        <v>4000</v>
      </c>
      <c r="Y410" s="185">
        <v>2291.4996999999998</v>
      </c>
      <c r="Z410" s="183">
        <v>0.57287492499999992</v>
      </c>
      <c r="AA410" s="185">
        <v>172.20060000000001</v>
      </c>
      <c r="AB410" s="185">
        <v>1173.5197600000001</v>
      </c>
      <c r="AC410" s="185">
        <v>362.77994000000001</v>
      </c>
      <c r="AD410" s="185">
        <v>4000</v>
      </c>
      <c r="AE410" s="186">
        <v>10</v>
      </c>
      <c r="AF410" s="183">
        <v>0.2</v>
      </c>
      <c r="AG410" s="186">
        <v>20</v>
      </c>
      <c r="AH410" s="183">
        <v>0.2</v>
      </c>
    </row>
  </sheetData>
  <phoneticPr fontId="2"/>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1" tint="0.34998626667073579"/>
  </sheetPr>
  <dimension ref="B3:O27"/>
  <sheetViews>
    <sheetView zoomScale="85" zoomScaleNormal="85" workbookViewId="0">
      <selection activeCell="M43" sqref="M43"/>
    </sheetView>
  </sheetViews>
  <sheetFormatPr defaultRowHeight="14.25" x14ac:dyDescent="0.25"/>
  <cols>
    <col min="1" max="1" width="4.875" customWidth="1"/>
    <col min="2" max="2" width="9.125" bestFit="1" customWidth="1"/>
    <col min="3" max="3" width="6.125" bestFit="1" customWidth="1"/>
    <col min="4" max="4" width="5" bestFit="1" customWidth="1"/>
    <col min="5" max="11" width="6.875" bestFit="1" customWidth="1"/>
  </cols>
  <sheetData>
    <row r="3" spans="2:15" x14ac:dyDescent="0.25">
      <c r="E3" t="s">
        <v>75</v>
      </c>
      <c r="F3" t="s">
        <v>76</v>
      </c>
      <c r="G3" t="s">
        <v>77</v>
      </c>
      <c r="H3" t="s">
        <v>78</v>
      </c>
      <c r="I3" t="s">
        <v>79</v>
      </c>
      <c r="J3" t="s">
        <v>80</v>
      </c>
      <c r="K3" t="s">
        <v>81</v>
      </c>
      <c r="L3" t="s">
        <v>85</v>
      </c>
    </row>
    <row r="4" spans="2:15" x14ac:dyDescent="0.25">
      <c r="D4" t="s">
        <v>226</v>
      </c>
      <c r="E4" t="s">
        <v>18</v>
      </c>
      <c r="F4" t="s">
        <v>227</v>
      </c>
      <c r="G4" t="s">
        <v>228</v>
      </c>
      <c r="H4" t="s">
        <v>229</v>
      </c>
      <c r="I4" t="s">
        <v>230</v>
      </c>
      <c r="J4" t="s">
        <v>231</v>
      </c>
      <c r="K4" t="s">
        <v>232</v>
      </c>
      <c r="L4" t="s">
        <v>233</v>
      </c>
      <c r="M4" t="s">
        <v>234</v>
      </c>
      <c r="O4" t="s">
        <v>240</v>
      </c>
    </row>
    <row r="5" spans="2:15" x14ac:dyDescent="0.25">
      <c r="C5" t="s">
        <v>40</v>
      </c>
    </row>
    <row r="6" spans="2:15" x14ac:dyDescent="0.25">
      <c r="C6" t="s">
        <v>41</v>
      </c>
    </row>
    <row r="7" spans="2:15" x14ac:dyDescent="0.25">
      <c r="C7" t="s">
        <v>1</v>
      </c>
    </row>
    <row r="8" spans="2:15" x14ac:dyDescent="0.25">
      <c r="C8" t="s">
        <v>2</v>
      </c>
    </row>
    <row r="9" spans="2:15" x14ac:dyDescent="0.25">
      <c r="C9" t="s">
        <v>3</v>
      </c>
    </row>
    <row r="10" spans="2:15" x14ac:dyDescent="0.25">
      <c r="C10" t="s">
        <v>4</v>
      </c>
    </row>
    <row r="13" spans="2:15" x14ac:dyDescent="0.25">
      <c r="D13" t="s">
        <v>226</v>
      </c>
      <c r="E13" t="s">
        <v>18</v>
      </c>
      <c r="F13" t="s">
        <v>227</v>
      </c>
      <c r="G13" t="s">
        <v>228</v>
      </c>
      <c r="H13" t="s">
        <v>229</v>
      </c>
      <c r="I13" t="s">
        <v>230</v>
      </c>
      <c r="J13" t="s">
        <v>231</v>
      </c>
      <c r="K13" t="s">
        <v>232</v>
      </c>
      <c r="L13" t="s">
        <v>233</v>
      </c>
      <c r="M13" t="s">
        <v>234</v>
      </c>
      <c r="O13" t="s">
        <v>240</v>
      </c>
    </row>
    <row r="14" spans="2:15" x14ac:dyDescent="0.25">
      <c r="B14" t="s">
        <v>224</v>
      </c>
      <c r="C14" t="s">
        <v>239</v>
      </c>
      <c r="D14" s="94">
        <v>7.24</v>
      </c>
      <c r="E14" s="94">
        <v>0.5615</v>
      </c>
      <c r="F14" s="94">
        <v>1.9487000000000001</v>
      </c>
      <c r="G14" s="94">
        <v>1.2195</v>
      </c>
      <c r="H14" s="94">
        <v>1.3928</v>
      </c>
      <c r="I14" s="94">
        <v>1.1093</v>
      </c>
      <c r="J14" s="94">
        <v>5.7499000000000002</v>
      </c>
      <c r="K14" s="94">
        <v>1.7123999999999999</v>
      </c>
      <c r="L14" s="94">
        <v>3.4498000000000002</v>
      </c>
      <c r="M14" s="94">
        <v>4.9531999999999998</v>
      </c>
      <c r="N14" s="145">
        <f t="shared" ref="N14:N19" si="0">SUM(D14:M14)</f>
        <v>29.337099999999996</v>
      </c>
      <c r="O14" s="1">
        <f t="shared" ref="O14:O19" si="1">N14-E14</f>
        <v>28.775599999999997</v>
      </c>
    </row>
    <row r="15" spans="2:15" x14ac:dyDescent="0.25">
      <c r="B15" t="s">
        <v>225</v>
      </c>
      <c r="C15" s="142" t="s">
        <v>239</v>
      </c>
      <c r="D15" s="177">
        <v>8.1735000000000007</v>
      </c>
      <c r="E15" s="177">
        <v>0.56850000000000001</v>
      </c>
      <c r="F15" s="177">
        <v>2.2906</v>
      </c>
      <c r="G15" s="177">
        <v>1.173</v>
      </c>
      <c r="H15" s="177">
        <v>1.5387</v>
      </c>
      <c r="I15" s="177">
        <v>1.1035999999999999</v>
      </c>
      <c r="J15" s="177">
        <v>6.1204999999999998</v>
      </c>
      <c r="K15" s="177">
        <v>3.2734000000000001</v>
      </c>
      <c r="L15" s="177">
        <v>3.7863000000000002</v>
      </c>
      <c r="M15" s="177">
        <v>5.6318000000000001</v>
      </c>
      <c r="N15" s="178">
        <f t="shared" si="0"/>
        <v>33.6599</v>
      </c>
      <c r="O15" s="147">
        <f t="shared" si="1"/>
        <v>33.0914</v>
      </c>
    </row>
    <row r="16" spans="2:15" x14ac:dyDescent="0.25">
      <c r="C16" t="s">
        <v>235</v>
      </c>
      <c r="D16" s="94">
        <v>6.61</v>
      </c>
      <c r="E16" s="94">
        <v>2.2231000000000001</v>
      </c>
      <c r="F16" s="94">
        <v>1.8752</v>
      </c>
      <c r="G16" s="94">
        <v>1.0618000000000001</v>
      </c>
      <c r="H16" s="94">
        <v>1.0586</v>
      </c>
      <c r="I16" s="94">
        <v>1.2230000000000001</v>
      </c>
      <c r="J16" s="94">
        <v>4.7201000000000004</v>
      </c>
      <c r="K16" s="94">
        <v>7.5999999999999998E-2</v>
      </c>
      <c r="L16" s="94">
        <v>2.6240999999999999</v>
      </c>
      <c r="M16" s="94">
        <v>7.1563999999999997</v>
      </c>
      <c r="N16" s="145">
        <f t="shared" si="0"/>
        <v>28.628299999999996</v>
      </c>
      <c r="O16" s="1">
        <f t="shared" si="1"/>
        <v>26.405199999999997</v>
      </c>
    </row>
    <row r="17" spans="3:15" x14ac:dyDescent="0.25">
      <c r="C17" s="142" t="s">
        <v>236</v>
      </c>
      <c r="D17" s="177">
        <v>7.3689</v>
      </c>
      <c r="E17" s="177">
        <v>2.0102000000000002</v>
      </c>
      <c r="F17" s="177">
        <v>2.1555</v>
      </c>
      <c r="G17" s="177">
        <v>1.1545000000000001</v>
      </c>
      <c r="H17" s="177">
        <v>1.2784</v>
      </c>
      <c r="I17" s="177">
        <v>1.2484999999999999</v>
      </c>
      <c r="J17" s="177">
        <v>5.0286999999999997</v>
      </c>
      <c r="K17" s="177">
        <v>1.4713000000000001</v>
      </c>
      <c r="L17" s="177">
        <v>2.7570999999999999</v>
      </c>
      <c r="M17" s="177">
        <v>6.5029000000000003</v>
      </c>
      <c r="N17" s="178">
        <f t="shared" si="0"/>
        <v>30.976000000000003</v>
      </c>
      <c r="O17" s="147">
        <f t="shared" si="1"/>
        <v>28.965800000000002</v>
      </c>
    </row>
    <row r="18" spans="3:15" x14ac:dyDescent="0.25">
      <c r="C18" s="142" t="s">
        <v>237</v>
      </c>
      <c r="D18" s="177">
        <v>8.1092999999999993</v>
      </c>
      <c r="E18" s="177">
        <v>1.3845000000000001</v>
      </c>
      <c r="F18" s="177">
        <v>2.2928999999999999</v>
      </c>
      <c r="G18" s="177">
        <v>1.1385000000000001</v>
      </c>
      <c r="H18" s="177">
        <v>1.4618</v>
      </c>
      <c r="I18" s="177">
        <v>1.1424000000000001</v>
      </c>
      <c r="J18" s="177">
        <v>5.4675000000000002</v>
      </c>
      <c r="K18" s="177">
        <v>3.3975</v>
      </c>
      <c r="L18" s="177">
        <v>3.3424999999999998</v>
      </c>
      <c r="M18" s="177">
        <v>5.5164</v>
      </c>
      <c r="N18" s="178">
        <f t="shared" si="0"/>
        <v>33.253300000000003</v>
      </c>
      <c r="O18" s="147">
        <f t="shared" si="1"/>
        <v>31.868800000000004</v>
      </c>
    </row>
    <row r="19" spans="3:15" x14ac:dyDescent="0.25">
      <c r="C19" s="142" t="s">
        <v>238</v>
      </c>
      <c r="D19" s="177">
        <v>9.0129999999999999</v>
      </c>
      <c r="E19" s="177">
        <v>1.5285</v>
      </c>
      <c r="F19" s="177">
        <v>2.4762</v>
      </c>
      <c r="G19" s="177">
        <v>1.2692000000000001</v>
      </c>
      <c r="H19" s="177">
        <v>1.5502</v>
      </c>
      <c r="I19" s="177">
        <v>1.099</v>
      </c>
      <c r="J19" s="177">
        <v>5.3522999999999996</v>
      </c>
      <c r="K19" s="177">
        <v>3.4112</v>
      </c>
      <c r="L19" s="177">
        <v>3.4331</v>
      </c>
      <c r="M19" s="177">
        <v>5.4607999999999999</v>
      </c>
      <c r="N19" s="178">
        <f t="shared" si="0"/>
        <v>34.593499999999999</v>
      </c>
      <c r="O19" s="147">
        <f t="shared" si="1"/>
        <v>33.064999999999998</v>
      </c>
    </row>
    <row r="20" spans="3:15" x14ac:dyDescent="0.25">
      <c r="D20" s="94"/>
      <c r="E20" s="94"/>
      <c r="F20" s="94"/>
      <c r="G20" s="94"/>
      <c r="H20" s="94"/>
      <c r="I20" s="94"/>
      <c r="J20" s="94"/>
      <c r="K20" s="94"/>
      <c r="L20" s="94"/>
      <c r="M20" s="94"/>
    </row>
    <row r="22" spans="3:15" x14ac:dyDescent="0.25">
      <c r="D22" s="86" t="s">
        <v>20</v>
      </c>
      <c r="E22" s="86" t="s">
        <v>275</v>
      </c>
      <c r="F22" s="86" t="s">
        <v>22</v>
      </c>
      <c r="G22" s="86" t="s">
        <v>23</v>
      </c>
      <c r="H22" s="86" t="s">
        <v>24</v>
      </c>
      <c r="I22" s="86" t="s">
        <v>27</v>
      </c>
      <c r="J22" s="86" t="s">
        <v>28</v>
      </c>
    </row>
    <row r="23" spans="3:15" x14ac:dyDescent="0.25">
      <c r="C23">
        <v>2</v>
      </c>
      <c r="D23" s="145">
        <f>D16</f>
        <v>6.61</v>
      </c>
      <c r="E23" s="145">
        <f>SUM(G14:H14)</f>
        <v>2.6123000000000003</v>
      </c>
      <c r="F23" s="145">
        <f>SUM(F14)</f>
        <v>1.9487000000000001</v>
      </c>
      <c r="G23" t="s">
        <v>318</v>
      </c>
      <c r="H23" t="s">
        <v>318</v>
      </c>
      <c r="I23" t="s">
        <v>319</v>
      </c>
      <c r="J23" t="s">
        <v>319</v>
      </c>
    </row>
    <row r="24" spans="3:15" x14ac:dyDescent="0.25">
      <c r="C24">
        <v>3</v>
      </c>
      <c r="D24" s="145">
        <f t="shared" ref="D24:D27" si="2">D17</f>
        <v>7.3689</v>
      </c>
      <c r="E24" s="145">
        <f t="shared" ref="E24:E27" si="3">SUM(G15:H15)</f>
        <v>2.7117</v>
      </c>
      <c r="F24" s="145">
        <f t="shared" ref="F24:F27" si="4">SUM(F15)</f>
        <v>2.2906</v>
      </c>
      <c r="G24" t="s">
        <v>318</v>
      </c>
      <c r="H24" t="s">
        <v>318</v>
      </c>
      <c r="I24" t="s">
        <v>319</v>
      </c>
      <c r="J24" t="s">
        <v>319</v>
      </c>
    </row>
    <row r="25" spans="3:15" x14ac:dyDescent="0.25">
      <c r="C25">
        <v>4</v>
      </c>
      <c r="D25" s="145">
        <f t="shared" si="2"/>
        <v>8.1092999999999993</v>
      </c>
      <c r="E25" s="145">
        <f t="shared" si="3"/>
        <v>2.1204000000000001</v>
      </c>
      <c r="F25" s="145">
        <f t="shared" si="4"/>
        <v>1.8752</v>
      </c>
      <c r="G25" t="s">
        <v>318</v>
      </c>
      <c r="H25" t="s">
        <v>318</v>
      </c>
      <c r="I25" t="s">
        <v>319</v>
      </c>
      <c r="J25" t="s">
        <v>319</v>
      </c>
    </row>
    <row r="26" spans="3:15" x14ac:dyDescent="0.25">
      <c r="C26">
        <v>5</v>
      </c>
      <c r="D26" s="145">
        <f t="shared" si="2"/>
        <v>9.0129999999999999</v>
      </c>
      <c r="E26" s="145">
        <f t="shared" si="3"/>
        <v>2.4329000000000001</v>
      </c>
      <c r="F26" s="145">
        <f t="shared" si="4"/>
        <v>2.1555</v>
      </c>
      <c r="G26" t="s">
        <v>318</v>
      </c>
      <c r="H26" t="s">
        <v>318</v>
      </c>
      <c r="I26" t="s">
        <v>319</v>
      </c>
      <c r="J26" t="s">
        <v>319</v>
      </c>
    </row>
    <row r="27" spans="3:15" x14ac:dyDescent="0.25">
      <c r="C27">
        <v>6</v>
      </c>
      <c r="D27" s="145">
        <f t="shared" si="2"/>
        <v>0</v>
      </c>
      <c r="E27" s="145">
        <f t="shared" si="3"/>
        <v>2.6002999999999998</v>
      </c>
      <c r="F27" s="145">
        <f t="shared" si="4"/>
        <v>2.2928999999999999</v>
      </c>
      <c r="G27" t="s">
        <v>318</v>
      </c>
      <c r="H27" t="s">
        <v>318</v>
      </c>
      <c r="I27" t="s">
        <v>319</v>
      </c>
      <c r="J27" t="s">
        <v>319</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00"/>
  </sheetPr>
  <dimension ref="B2:AU74"/>
  <sheetViews>
    <sheetView zoomScale="55" zoomScaleNormal="55" workbookViewId="0">
      <selection activeCell="N63" sqref="N63"/>
    </sheetView>
  </sheetViews>
  <sheetFormatPr defaultRowHeight="14.25" x14ac:dyDescent="0.25"/>
  <cols>
    <col min="1" max="1" width="4.375" customWidth="1"/>
    <col min="2" max="2" width="4" style="1" bestFit="1" customWidth="1"/>
    <col min="3" max="3" width="5.125" style="1" bestFit="1" customWidth="1"/>
    <col min="4" max="4" width="7.125" style="1" customWidth="1"/>
    <col min="5" max="5" width="7.125" style="1" bestFit="1" customWidth="1"/>
    <col min="6" max="6" width="6.25" style="1" customWidth="1"/>
    <col min="7" max="8" width="3.125" style="1" bestFit="1" customWidth="1"/>
    <col min="9" max="9" width="7.125" style="1" bestFit="1" customWidth="1"/>
    <col min="10" max="10" width="6.25" style="1" bestFit="1" customWidth="1"/>
    <col min="11" max="11" width="5.125" style="1" bestFit="1" customWidth="1"/>
    <col min="12" max="13" width="6.25" style="1" bestFit="1" customWidth="1"/>
    <col min="14" max="16" width="5.125" style="1" bestFit="1" customWidth="1"/>
    <col min="17" max="17" width="6.125" style="1" customWidth="1"/>
    <col min="18" max="18" width="5.5" style="1" customWidth="1"/>
    <col min="19" max="19" width="7.125" style="1" bestFit="1" customWidth="1"/>
    <col min="20" max="20" width="6.125" style="1" customWidth="1"/>
    <col min="21" max="23" width="5.125" style="1" bestFit="1" customWidth="1"/>
    <col min="24" max="24" width="6.25" style="1" bestFit="1" customWidth="1"/>
    <col min="25" max="27" width="3.125" style="1" bestFit="1" customWidth="1"/>
    <col min="28" max="28" width="6.875" style="1" bestFit="1" customWidth="1"/>
    <col min="29" max="29" width="9" style="1" bestFit="1" customWidth="1"/>
    <col min="30" max="30" width="3.125" style="1" bestFit="1" customWidth="1"/>
    <col min="31" max="31" width="6.875" style="1" bestFit="1" customWidth="1"/>
    <col min="32" max="32" width="4.375" style="1" bestFit="1" customWidth="1"/>
    <col min="33" max="33" width="6.875" style="1" bestFit="1" customWidth="1"/>
    <col min="34" max="35" width="3.125" style="1" bestFit="1" customWidth="1"/>
    <col min="36" max="36" width="6.875" style="1" bestFit="1" customWidth="1"/>
    <col min="37" max="37" width="7.625" style="1" bestFit="1" customWidth="1"/>
    <col min="38" max="38" width="8.5" style="1" bestFit="1" customWidth="1"/>
    <col min="39" max="40" width="6.125" style="1" customWidth="1"/>
    <col min="41" max="41" width="9.875" style="1" bestFit="1" customWidth="1"/>
    <col min="42" max="42" width="7" style="1" bestFit="1" customWidth="1"/>
    <col min="43" max="43" width="5.375" style="1" bestFit="1" customWidth="1"/>
    <col min="44" max="44" width="3.125" style="1" bestFit="1" customWidth="1"/>
    <col min="45" max="45" width="8.5" style="1" bestFit="1" customWidth="1"/>
    <col min="46" max="46" width="10.125" style="1" bestFit="1" customWidth="1"/>
    <col min="47" max="47" width="8.5" style="1" bestFit="1" customWidth="1"/>
    <col min="48" max="52" width="6.25" bestFit="1" customWidth="1"/>
  </cols>
  <sheetData>
    <row r="2" spans="2:47" s="10" customFormat="1" x14ac:dyDescent="0.25">
      <c r="B2" s="41"/>
      <c r="C2" s="42"/>
      <c r="D2" s="31"/>
      <c r="E2" s="20"/>
      <c r="F2" s="20"/>
      <c r="G2" s="20"/>
      <c r="H2" s="20"/>
      <c r="I2" s="21" t="s">
        <v>15</v>
      </c>
      <c r="J2" s="19"/>
      <c r="K2" s="20"/>
      <c r="L2" s="20"/>
      <c r="M2" s="20"/>
      <c r="N2" s="20"/>
      <c r="O2" s="20"/>
      <c r="P2" s="20"/>
      <c r="Q2" s="20"/>
      <c r="R2" s="20"/>
      <c r="S2" s="21"/>
      <c r="T2" s="21" t="s">
        <v>6</v>
      </c>
      <c r="U2" s="20"/>
      <c r="V2" s="20"/>
      <c r="W2" s="20"/>
      <c r="X2" s="20"/>
      <c r="Y2" s="20"/>
      <c r="Z2" s="20"/>
      <c r="AA2" s="20"/>
      <c r="AB2" s="20"/>
      <c r="AC2" s="21" t="s">
        <v>6</v>
      </c>
      <c r="AD2" s="20"/>
      <c r="AE2" s="20"/>
      <c r="AF2" s="20"/>
      <c r="AG2" s="20"/>
      <c r="AH2" s="20"/>
      <c r="AI2" s="20"/>
      <c r="AJ2" s="20"/>
      <c r="AK2" s="21" t="s">
        <v>7</v>
      </c>
      <c r="AL2" s="21" t="s">
        <v>8</v>
      </c>
      <c r="AM2" s="9"/>
      <c r="AN2" s="9"/>
      <c r="AO2" s="9" t="s">
        <v>9</v>
      </c>
      <c r="AP2" s="9" t="s">
        <v>10</v>
      </c>
      <c r="AQ2" s="9" t="s">
        <v>11</v>
      </c>
      <c r="AR2" s="9"/>
      <c r="AS2" s="9" t="s">
        <v>12</v>
      </c>
      <c r="AT2" s="9" t="s">
        <v>13</v>
      </c>
      <c r="AU2" s="9" t="s">
        <v>14</v>
      </c>
    </row>
    <row r="3" spans="2:47" s="10" customFormat="1" x14ac:dyDescent="0.25">
      <c r="B3" s="43"/>
      <c r="C3" s="44"/>
      <c r="D3" s="32"/>
      <c r="E3" s="28"/>
      <c r="F3" s="28"/>
      <c r="G3" s="28"/>
      <c r="H3" s="29"/>
      <c r="I3" s="22"/>
      <c r="J3" s="15"/>
      <c r="K3" s="16"/>
      <c r="L3" s="16"/>
      <c r="M3" s="16"/>
      <c r="N3" s="16"/>
      <c r="O3" s="16"/>
      <c r="P3" s="16"/>
      <c r="Q3" s="16"/>
      <c r="R3" s="16"/>
      <c r="S3" s="26" t="s">
        <v>38</v>
      </c>
      <c r="T3" s="22"/>
      <c r="U3" s="16"/>
      <c r="V3" s="16"/>
      <c r="W3" s="16"/>
      <c r="X3" s="16"/>
      <c r="Y3" s="16"/>
      <c r="Z3" s="16"/>
      <c r="AA3" s="16"/>
      <c r="AB3" s="26" t="s">
        <v>37</v>
      </c>
      <c r="AC3" s="22"/>
      <c r="AD3" s="16"/>
      <c r="AE3" s="16"/>
      <c r="AF3" s="16"/>
      <c r="AG3" s="16"/>
      <c r="AH3" s="16"/>
      <c r="AI3" s="16"/>
      <c r="AJ3" s="16"/>
      <c r="AK3" s="26" t="s">
        <v>36</v>
      </c>
      <c r="AL3" s="22"/>
      <c r="AM3" s="9"/>
      <c r="AN3" s="9"/>
      <c r="AO3" s="9"/>
      <c r="AP3" s="9"/>
      <c r="AQ3" s="9"/>
      <c r="AR3" s="9"/>
      <c r="AS3" s="9"/>
      <c r="AT3" s="9"/>
      <c r="AU3" s="9"/>
    </row>
    <row r="4" spans="2:47" s="4" customFormat="1" ht="54.75" thickBot="1" x14ac:dyDescent="0.3">
      <c r="B4" s="7" t="s">
        <v>16</v>
      </c>
      <c r="C4" s="6" t="s">
        <v>17</v>
      </c>
      <c r="D4" s="33" t="s">
        <v>33</v>
      </c>
      <c r="E4" s="6" t="s">
        <v>34</v>
      </c>
      <c r="F4" s="6" t="s">
        <v>39</v>
      </c>
      <c r="G4" s="6"/>
      <c r="H4" s="30"/>
      <c r="I4" s="23"/>
      <c r="J4" s="11" t="s">
        <v>18</v>
      </c>
      <c r="K4" s="12" t="s">
        <v>19</v>
      </c>
      <c r="L4" s="12" t="s">
        <v>20</v>
      </c>
      <c r="M4" s="12" t="s">
        <v>21</v>
      </c>
      <c r="N4" s="12" t="s">
        <v>22</v>
      </c>
      <c r="O4" s="12" t="s">
        <v>23</v>
      </c>
      <c r="P4" s="12" t="s">
        <v>24</v>
      </c>
      <c r="Q4" s="12"/>
      <c r="R4" s="13"/>
      <c r="S4" s="17"/>
      <c r="T4" s="23"/>
      <c r="U4" s="11" t="s">
        <v>27</v>
      </c>
      <c r="V4" s="12" t="s">
        <v>28</v>
      </c>
      <c r="W4" s="12" t="s">
        <v>25</v>
      </c>
      <c r="X4" s="12" t="s">
        <v>26</v>
      </c>
      <c r="Y4" s="12"/>
      <c r="Z4" s="12"/>
      <c r="AA4" s="13"/>
      <c r="AB4" s="17"/>
      <c r="AC4" s="23"/>
      <c r="AD4" s="11"/>
      <c r="AE4" s="12" t="s">
        <v>29</v>
      </c>
      <c r="AF4" s="12" t="s">
        <v>30</v>
      </c>
      <c r="AG4" s="12" t="s">
        <v>31</v>
      </c>
      <c r="AH4" s="12"/>
      <c r="AI4" s="12"/>
      <c r="AJ4" s="13" t="s">
        <v>35</v>
      </c>
      <c r="AK4" s="17"/>
      <c r="AL4" s="23"/>
      <c r="AM4" s="6"/>
      <c r="AN4" s="6"/>
      <c r="AO4" s="6" t="s">
        <v>32</v>
      </c>
      <c r="AP4" s="6"/>
      <c r="AQ4" s="6"/>
      <c r="AR4" s="6"/>
      <c r="AS4" s="6"/>
      <c r="AT4" s="6"/>
      <c r="AU4" s="6"/>
    </row>
    <row r="5" spans="2:47" s="4" customFormat="1" ht="15" thickTop="1" x14ac:dyDescent="0.25">
      <c r="B5" s="169" t="s">
        <v>218</v>
      </c>
      <c r="C5" s="165"/>
      <c r="D5" s="170"/>
      <c r="E5" s="165"/>
      <c r="F5" s="165"/>
      <c r="G5" s="165"/>
      <c r="H5" s="166"/>
      <c r="I5" s="168"/>
      <c r="J5" s="164"/>
      <c r="K5" s="165"/>
      <c r="L5" s="165"/>
      <c r="M5" s="165"/>
      <c r="N5" s="165"/>
      <c r="O5" s="165"/>
      <c r="P5" s="165"/>
      <c r="Q5" s="165"/>
      <c r="R5" s="166"/>
      <c r="S5" s="167"/>
      <c r="T5" s="168"/>
      <c r="U5" s="164"/>
      <c r="V5" s="165"/>
      <c r="W5" s="165"/>
      <c r="X5" s="165"/>
      <c r="Y5" s="165"/>
      <c r="Z5" s="165"/>
      <c r="AA5" s="166"/>
      <c r="AB5" s="167"/>
      <c r="AC5" s="168"/>
      <c r="AD5" s="164"/>
      <c r="AE5" s="165"/>
      <c r="AF5" s="165"/>
      <c r="AG5" s="165"/>
      <c r="AH5" s="165"/>
      <c r="AI5" s="165"/>
      <c r="AJ5" s="166"/>
      <c r="AK5" s="167"/>
      <c r="AL5" s="168"/>
      <c r="AM5" s="165"/>
      <c r="AN5" s="165"/>
      <c r="AO5" s="165"/>
      <c r="AP5" s="165"/>
      <c r="AQ5" s="155"/>
      <c r="AR5" s="155"/>
      <c r="AS5" s="155"/>
      <c r="AT5" s="155"/>
      <c r="AU5" s="155"/>
    </row>
    <row r="6" spans="2:47" x14ac:dyDescent="0.25">
      <c r="B6" s="5"/>
      <c r="C6" s="3"/>
      <c r="D6" s="34"/>
      <c r="E6" s="3"/>
      <c r="F6" s="3"/>
      <c r="G6" s="3"/>
      <c r="H6" s="14"/>
      <c r="I6" s="24"/>
      <c r="J6" s="5"/>
      <c r="K6" s="3"/>
      <c r="L6" s="3"/>
      <c r="M6" s="3"/>
      <c r="N6" s="3"/>
      <c r="O6" s="3"/>
      <c r="P6" s="3"/>
      <c r="Q6" s="3"/>
      <c r="R6" s="14"/>
      <c r="S6" s="18"/>
      <c r="T6" s="24"/>
      <c r="U6" s="5"/>
      <c r="V6" s="3"/>
      <c r="W6" s="3"/>
      <c r="X6" s="3"/>
      <c r="Y6" s="3"/>
      <c r="Z6" s="3"/>
      <c r="AA6" s="14"/>
      <c r="AB6" s="18"/>
      <c r="AC6" s="24"/>
      <c r="AD6" s="5"/>
      <c r="AE6" s="3"/>
      <c r="AF6" s="3"/>
      <c r="AG6" s="3"/>
      <c r="AH6" s="3"/>
      <c r="AI6" s="3"/>
      <c r="AJ6" s="14"/>
      <c r="AK6" s="18"/>
      <c r="AL6" s="24"/>
    </row>
    <row r="7" spans="2:47" x14ac:dyDescent="0.25">
      <c r="B7" s="5"/>
      <c r="C7" s="3"/>
      <c r="D7" s="34"/>
      <c r="E7" s="3"/>
      <c r="F7" s="3"/>
      <c r="G7" s="3"/>
      <c r="H7" s="14"/>
      <c r="I7" s="24"/>
      <c r="J7" s="5"/>
      <c r="K7" s="3"/>
      <c r="L7" s="3"/>
      <c r="M7" s="3"/>
      <c r="N7" s="3"/>
      <c r="O7" s="3"/>
      <c r="P7" s="3"/>
      <c r="Q7" s="3"/>
      <c r="R7" s="14"/>
      <c r="S7" s="18"/>
      <c r="T7" s="24"/>
      <c r="U7" s="5"/>
      <c r="V7" s="3"/>
      <c r="W7" s="3"/>
      <c r="X7" s="3"/>
      <c r="Y7" s="3"/>
      <c r="Z7" s="3"/>
      <c r="AA7" s="14"/>
      <c r="AB7" s="18"/>
      <c r="AC7" s="24"/>
      <c r="AD7" s="5"/>
      <c r="AE7" s="3"/>
      <c r="AF7" s="3"/>
      <c r="AG7" s="3"/>
      <c r="AH7" s="3"/>
      <c r="AI7" s="3"/>
      <c r="AJ7" s="14"/>
      <c r="AK7" s="18"/>
      <c r="AL7" s="24"/>
    </row>
    <row r="8" spans="2:47" x14ac:dyDescent="0.25">
      <c r="B8" s="5"/>
      <c r="C8" s="3"/>
      <c r="D8" s="34"/>
      <c r="E8" s="3"/>
      <c r="F8" s="3"/>
      <c r="G8" s="3"/>
      <c r="H8" s="14"/>
      <c r="I8" s="24"/>
      <c r="J8" s="5"/>
      <c r="K8" s="3"/>
      <c r="L8" s="3"/>
      <c r="M8" s="3"/>
      <c r="N8" s="3"/>
      <c r="O8" s="3"/>
      <c r="P8" s="3"/>
      <c r="Q8" s="3"/>
      <c r="R8" s="14"/>
      <c r="S8" s="18"/>
      <c r="T8" s="24"/>
      <c r="U8" s="5"/>
      <c r="V8" s="3"/>
      <c r="W8" s="3"/>
      <c r="X8" s="3"/>
      <c r="Y8" s="3"/>
      <c r="Z8" s="3"/>
      <c r="AA8" s="14"/>
      <c r="AB8" s="18"/>
      <c r="AC8" s="24"/>
      <c r="AD8" s="5"/>
      <c r="AE8" s="3"/>
      <c r="AF8" s="3"/>
      <c r="AG8" s="3"/>
      <c r="AH8" s="3"/>
      <c r="AI8" s="3"/>
      <c r="AJ8" s="14"/>
      <c r="AK8" s="18"/>
      <c r="AL8" s="24"/>
    </row>
    <row r="9" spans="2:47" x14ac:dyDescent="0.25">
      <c r="B9" s="5"/>
      <c r="C9" s="3"/>
      <c r="D9" s="34"/>
      <c r="E9" s="3"/>
      <c r="F9" s="3"/>
      <c r="G9" s="3"/>
      <c r="H9" s="14"/>
      <c r="I9" s="24"/>
      <c r="J9" s="5"/>
      <c r="K9" s="3"/>
      <c r="L9" s="3"/>
      <c r="M9" s="3"/>
      <c r="N9" s="3"/>
      <c r="O9" s="3"/>
      <c r="P9" s="3"/>
      <c r="Q9" s="3"/>
      <c r="R9" s="14"/>
      <c r="S9" s="18"/>
      <c r="T9" s="24"/>
      <c r="U9" s="5"/>
      <c r="V9" s="3"/>
      <c r="W9" s="3"/>
      <c r="X9" s="3"/>
      <c r="Y9" s="3"/>
      <c r="Z9" s="3"/>
      <c r="AA9" s="14"/>
      <c r="AB9" s="18"/>
      <c r="AC9" s="24"/>
      <c r="AD9" s="5"/>
      <c r="AE9" s="3"/>
      <c r="AF9" s="3"/>
      <c r="AG9" s="3"/>
      <c r="AH9" s="3"/>
      <c r="AI9" s="3"/>
      <c r="AJ9" s="14"/>
      <c r="AK9" s="18"/>
      <c r="AL9" s="24"/>
    </row>
    <row r="10" spans="2:47" x14ac:dyDescent="0.25">
      <c r="B10" s="5"/>
      <c r="C10" s="3"/>
      <c r="D10" s="34"/>
      <c r="E10" s="3"/>
      <c r="F10" s="3"/>
      <c r="G10" s="3"/>
      <c r="H10" s="14"/>
      <c r="I10" s="24"/>
      <c r="J10" s="5"/>
      <c r="K10" s="3"/>
      <c r="L10" s="3"/>
      <c r="M10" s="3"/>
      <c r="N10" s="3"/>
      <c r="O10" s="3"/>
      <c r="P10" s="3"/>
      <c r="Q10" s="3"/>
      <c r="R10" s="14"/>
      <c r="S10" s="18"/>
      <c r="T10" s="24"/>
      <c r="U10" s="5"/>
      <c r="V10" s="3"/>
      <c r="W10" s="3"/>
      <c r="X10" s="3"/>
      <c r="Y10" s="3"/>
      <c r="Z10" s="3"/>
      <c r="AA10" s="14"/>
      <c r="AB10" s="18"/>
      <c r="AC10" s="24"/>
      <c r="AD10" s="5"/>
      <c r="AE10" s="3"/>
      <c r="AF10" s="3"/>
      <c r="AG10" s="3"/>
      <c r="AH10" s="3"/>
      <c r="AI10" s="3"/>
      <c r="AJ10" s="14"/>
      <c r="AK10" s="18"/>
      <c r="AL10" s="24"/>
    </row>
    <row r="11" spans="2:47" x14ac:dyDescent="0.25">
      <c r="B11" s="5"/>
      <c r="C11" s="3"/>
      <c r="D11" s="34"/>
      <c r="E11" s="3"/>
      <c r="F11" s="3"/>
      <c r="G11" s="3"/>
      <c r="H11" s="14"/>
      <c r="I11" s="24"/>
      <c r="J11" s="5"/>
      <c r="K11" s="3"/>
      <c r="L11" s="3"/>
      <c r="M11" s="3"/>
      <c r="N11" s="3"/>
      <c r="O11" s="3"/>
      <c r="P11" s="3"/>
      <c r="Q11" s="3"/>
      <c r="R11" s="14"/>
      <c r="S11" s="18"/>
      <c r="T11" s="24"/>
      <c r="U11" s="5"/>
      <c r="V11" s="3"/>
      <c r="W11" s="3"/>
      <c r="X11" s="3"/>
      <c r="Y11" s="3"/>
      <c r="Z11" s="3"/>
      <c r="AA11" s="14"/>
      <c r="AB11" s="18"/>
      <c r="AC11" s="24"/>
      <c r="AD11" s="5"/>
      <c r="AE11" s="3"/>
      <c r="AF11" s="3"/>
      <c r="AG11" s="3"/>
      <c r="AH11" s="3"/>
      <c r="AI11" s="3"/>
      <c r="AJ11" s="14"/>
      <c r="AK11" s="18"/>
      <c r="AL11" s="24"/>
    </row>
    <row r="12" spans="2:47" x14ac:dyDescent="0.25">
      <c r="B12" s="5"/>
      <c r="C12" s="3"/>
      <c r="D12" s="34"/>
      <c r="E12" s="3"/>
      <c r="F12" s="3"/>
      <c r="G12" s="3"/>
      <c r="H12" s="14"/>
      <c r="I12" s="24"/>
      <c r="J12" s="5"/>
      <c r="K12" s="3"/>
      <c r="L12" s="3"/>
      <c r="M12" s="3"/>
      <c r="N12" s="3"/>
      <c r="O12" s="3"/>
      <c r="P12" s="3"/>
      <c r="Q12" s="3"/>
      <c r="R12" s="14"/>
      <c r="S12" s="18"/>
      <c r="T12" s="24"/>
      <c r="U12" s="5"/>
      <c r="V12" s="3"/>
      <c r="W12" s="3"/>
      <c r="X12" s="3"/>
      <c r="Y12" s="3"/>
      <c r="Z12" s="3"/>
      <c r="AA12" s="14"/>
      <c r="AB12" s="18"/>
      <c r="AC12" s="24"/>
      <c r="AD12" s="5"/>
      <c r="AE12" s="3"/>
      <c r="AF12" s="3"/>
      <c r="AG12" s="3"/>
      <c r="AH12" s="3"/>
      <c r="AI12" s="3"/>
      <c r="AJ12" s="14"/>
      <c r="AK12" s="18"/>
      <c r="AL12" s="24"/>
    </row>
    <row r="13" spans="2:47" x14ac:dyDescent="0.25">
      <c r="B13" s="5"/>
      <c r="C13" s="3"/>
      <c r="D13" s="34"/>
      <c r="E13" s="3"/>
      <c r="F13" s="3"/>
      <c r="G13" s="3"/>
      <c r="H13" s="14"/>
      <c r="I13" s="24"/>
      <c r="J13" s="5"/>
      <c r="K13" s="3"/>
      <c r="L13" s="3"/>
      <c r="M13" s="3"/>
      <c r="N13" s="3"/>
      <c r="O13" s="3"/>
      <c r="P13" s="3"/>
      <c r="Q13" s="3"/>
      <c r="R13" s="14"/>
      <c r="S13" s="18"/>
      <c r="T13" s="24"/>
      <c r="U13" s="5"/>
      <c r="V13" s="3"/>
      <c r="W13" s="3"/>
      <c r="X13" s="3"/>
      <c r="Y13" s="3"/>
      <c r="Z13" s="3"/>
      <c r="AA13" s="14"/>
      <c r="AB13" s="18"/>
      <c r="AC13" s="24"/>
      <c r="AD13" s="5"/>
      <c r="AE13" s="3"/>
      <c r="AF13" s="3"/>
      <c r="AG13" s="3"/>
      <c r="AH13" s="3"/>
      <c r="AI13" s="3"/>
      <c r="AJ13" s="14"/>
      <c r="AK13" s="18"/>
      <c r="AL13" s="24"/>
    </row>
    <row r="14" spans="2:47" x14ac:dyDescent="0.25">
      <c r="B14" s="5"/>
      <c r="C14" s="3"/>
      <c r="D14" s="34"/>
      <c r="E14" s="3"/>
      <c r="F14" s="3"/>
      <c r="G14" s="3"/>
      <c r="H14" s="14"/>
      <c r="I14" s="24"/>
      <c r="J14" s="5"/>
      <c r="K14" s="3"/>
      <c r="L14" s="3"/>
      <c r="M14" s="3"/>
      <c r="N14" s="3"/>
      <c r="O14" s="3"/>
      <c r="P14" s="3"/>
      <c r="Q14" s="3"/>
      <c r="R14" s="14"/>
      <c r="S14" s="18"/>
      <c r="T14" s="24"/>
      <c r="U14" s="5"/>
      <c r="V14" s="3"/>
      <c r="W14" s="3"/>
      <c r="X14" s="3"/>
      <c r="Y14" s="3"/>
      <c r="Z14" s="3"/>
      <c r="AA14" s="14"/>
      <c r="AB14" s="18"/>
      <c r="AC14" s="24"/>
      <c r="AD14" s="5"/>
      <c r="AE14" s="3"/>
      <c r="AF14" s="3"/>
      <c r="AG14" s="3"/>
      <c r="AH14" s="3"/>
      <c r="AI14" s="3"/>
      <c r="AJ14" s="14"/>
      <c r="AK14" s="18"/>
      <c r="AL14" s="24"/>
    </row>
    <row r="15" spans="2:47" x14ac:dyDescent="0.25">
      <c r="B15" s="5"/>
      <c r="C15" s="3"/>
      <c r="D15" s="34"/>
      <c r="E15" s="3"/>
      <c r="F15" s="3"/>
      <c r="G15" s="3"/>
      <c r="H15" s="14"/>
      <c r="I15" s="24"/>
      <c r="J15" s="5"/>
      <c r="K15" s="3"/>
      <c r="L15" s="3"/>
      <c r="M15" s="3"/>
      <c r="N15" s="3"/>
      <c r="O15" s="3"/>
      <c r="P15" s="3"/>
      <c r="Q15" s="3"/>
      <c r="R15" s="14"/>
      <c r="S15" s="18"/>
      <c r="T15" s="24"/>
      <c r="U15" s="5"/>
      <c r="V15" s="3"/>
      <c r="W15" s="3"/>
      <c r="X15" s="3"/>
      <c r="Y15" s="3"/>
      <c r="Z15" s="3"/>
      <c r="AA15" s="14"/>
      <c r="AB15" s="18"/>
      <c r="AC15" s="24"/>
      <c r="AD15" s="5"/>
      <c r="AE15" s="3"/>
      <c r="AF15" s="3"/>
      <c r="AG15" s="3"/>
      <c r="AH15" s="3"/>
      <c r="AI15" s="3"/>
      <c r="AJ15" s="14"/>
      <c r="AK15" s="18"/>
      <c r="AL15" s="24"/>
    </row>
    <row r="16" spans="2:47" x14ac:dyDescent="0.25">
      <c r="B16" s="5"/>
      <c r="C16" s="3"/>
      <c r="D16" s="34"/>
      <c r="E16" s="3"/>
      <c r="F16" s="3"/>
      <c r="G16" s="3"/>
      <c r="H16" s="14"/>
      <c r="I16" s="24"/>
      <c r="J16" s="5"/>
      <c r="K16" s="3"/>
      <c r="L16" s="3"/>
      <c r="M16" s="3"/>
      <c r="N16" s="3"/>
      <c r="O16" s="3"/>
      <c r="P16" s="3"/>
      <c r="Q16" s="3"/>
      <c r="R16" s="14"/>
      <c r="S16" s="18"/>
      <c r="T16" s="24"/>
      <c r="U16" s="5"/>
      <c r="V16" s="3"/>
      <c r="W16" s="3"/>
      <c r="X16" s="3"/>
      <c r="Y16" s="3"/>
      <c r="Z16" s="3"/>
      <c r="AA16" s="14"/>
      <c r="AB16" s="18"/>
      <c r="AC16" s="24"/>
      <c r="AD16" s="5"/>
      <c r="AE16" s="3"/>
      <c r="AF16" s="3"/>
      <c r="AG16" s="3"/>
      <c r="AH16" s="3"/>
      <c r="AI16" s="3"/>
      <c r="AJ16" s="14"/>
      <c r="AK16" s="18"/>
      <c r="AL16" s="24"/>
    </row>
    <row r="17" spans="2:38" x14ac:dyDescent="0.25">
      <c r="B17" s="5"/>
      <c r="C17" s="3"/>
      <c r="D17" s="34"/>
      <c r="E17" s="3"/>
      <c r="F17" s="3"/>
      <c r="G17" s="3"/>
      <c r="H17" s="14"/>
      <c r="I17" s="24"/>
      <c r="J17" s="5"/>
      <c r="K17" s="3"/>
      <c r="L17" s="3"/>
      <c r="M17" s="3"/>
      <c r="N17" s="3"/>
      <c r="O17" s="3"/>
      <c r="P17" s="3"/>
      <c r="Q17" s="3"/>
      <c r="R17" s="14"/>
      <c r="S17" s="18"/>
      <c r="T17" s="24"/>
      <c r="U17" s="5"/>
      <c r="V17" s="3"/>
      <c r="W17" s="3"/>
      <c r="X17" s="3"/>
      <c r="Y17" s="3"/>
      <c r="Z17" s="3"/>
      <c r="AA17" s="14"/>
      <c r="AB17" s="18"/>
      <c r="AC17" s="24"/>
      <c r="AD17" s="5"/>
      <c r="AE17" s="3"/>
      <c r="AF17" s="3"/>
      <c r="AG17" s="3"/>
      <c r="AH17" s="3"/>
      <c r="AI17" s="3"/>
      <c r="AJ17" s="14"/>
      <c r="AK17" s="18"/>
      <c r="AL17" s="24"/>
    </row>
    <row r="18" spans="2:38" x14ac:dyDescent="0.25">
      <c r="B18" s="5"/>
      <c r="C18" s="3"/>
      <c r="D18" s="34"/>
      <c r="E18" s="3"/>
      <c r="F18" s="3"/>
      <c r="G18" s="3"/>
      <c r="H18" s="14"/>
      <c r="I18" s="24"/>
      <c r="J18" s="5"/>
      <c r="K18" s="3"/>
      <c r="L18" s="3"/>
      <c r="M18" s="3"/>
      <c r="N18" s="3"/>
      <c r="O18" s="3"/>
      <c r="P18" s="3"/>
      <c r="Q18" s="3"/>
      <c r="R18" s="14"/>
      <c r="S18" s="18"/>
      <c r="T18" s="24"/>
      <c r="U18" s="5"/>
      <c r="V18" s="3"/>
      <c r="W18" s="3"/>
      <c r="X18" s="3"/>
      <c r="Y18" s="3"/>
      <c r="Z18" s="3"/>
      <c r="AA18" s="14"/>
      <c r="AB18" s="18"/>
      <c r="AC18" s="24"/>
      <c r="AD18" s="5"/>
      <c r="AE18" s="3"/>
      <c r="AF18" s="3"/>
      <c r="AG18" s="3"/>
      <c r="AH18" s="3"/>
      <c r="AI18" s="3"/>
      <c r="AJ18" s="14"/>
      <c r="AK18" s="18"/>
      <c r="AL18" s="24"/>
    </row>
    <row r="19" spans="2:38" x14ac:dyDescent="0.25">
      <c r="B19" s="5"/>
      <c r="C19" s="3"/>
      <c r="D19" s="34"/>
      <c r="E19" s="3"/>
      <c r="F19" s="3"/>
      <c r="G19" s="3"/>
      <c r="H19" s="14"/>
      <c r="I19" s="24"/>
      <c r="J19" s="5"/>
      <c r="K19" s="3"/>
      <c r="L19" s="3"/>
      <c r="M19" s="3"/>
      <c r="N19" s="3"/>
      <c r="O19" s="3"/>
      <c r="P19" s="3"/>
      <c r="Q19" s="3"/>
      <c r="R19" s="14"/>
      <c r="S19" s="18"/>
      <c r="T19" s="24"/>
      <c r="U19" s="5"/>
      <c r="V19" s="3"/>
      <c r="W19" s="3"/>
      <c r="X19" s="3"/>
      <c r="Y19" s="3"/>
      <c r="Z19" s="3"/>
      <c r="AA19" s="14"/>
      <c r="AB19" s="18"/>
      <c r="AC19" s="24"/>
      <c r="AD19" s="5"/>
      <c r="AE19" s="3"/>
      <c r="AF19" s="3"/>
      <c r="AG19" s="3"/>
      <c r="AH19" s="3"/>
      <c r="AI19" s="3"/>
      <c r="AJ19" s="14"/>
      <c r="AK19" s="18"/>
      <c r="AL19" s="24"/>
    </row>
    <row r="20" spans="2:38" x14ac:dyDescent="0.25">
      <c r="B20" s="5"/>
      <c r="C20" s="3"/>
      <c r="D20" s="34"/>
      <c r="E20" s="3"/>
      <c r="F20" s="3"/>
      <c r="G20" s="3"/>
      <c r="H20" s="14"/>
      <c r="I20" s="24"/>
      <c r="J20" s="5"/>
      <c r="K20" s="3"/>
      <c r="L20" s="3"/>
      <c r="M20" s="3"/>
      <c r="N20" s="3"/>
      <c r="O20" s="3"/>
      <c r="P20" s="3"/>
      <c r="Q20" s="3"/>
      <c r="R20" s="14"/>
      <c r="S20" s="18"/>
      <c r="T20" s="24"/>
      <c r="U20" s="5"/>
      <c r="V20" s="3"/>
      <c r="W20" s="3"/>
      <c r="X20" s="3"/>
      <c r="Y20" s="3"/>
      <c r="Z20" s="3"/>
      <c r="AA20" s="14"/>
      <c r="AB20" s="18"/>
      <c r="AC20" s="24"/>
      <c r="AD20" s="5"/>
      <c r="AE20" s="3"/>
      <c r="AF20" s="3"/>
      <c r="AG20" s="3"/>
      <c r="AH20" s="3"/>
      <c r="AI20" s="3"/>
      <c r="AJ20" s="14"/>
      <c r="AK20" s="18"/>
      <c r="AL20" s="24"/>
    </row>
    <row r="21" spans="2:38" x14ac:dyDescent="0.25">
      <c r="B21" s="5"/>
      <c r="C21" s="3"/>
      <c r="D21" s="34"/>
      <c r="E21" s="3"/>
      <c r="F21" s="3"/>
      <c r="G21" s="3"/>
      <c r="H21" s="14"/>
      <c r="I21" s="24"/>
      <c r="J21" s="5"/>
      <c r="K21" s="3"/>
      <c r="L21" s="3"/>
      <c r="M21" s="3"/>
      <c r="N21" s="3"/>
      <c r="O21" s="3"/>
      <c r="P21" s="3"/>
      <c r="Q21" s="3"/>
      <c r="R21" s="14"/>
      <c r="S21" s="18"/>
      <c r="T21" s="24"/>
      <c r="U21" s="5"/>
      <c r="V21" s="3"/>
      <c r="W21" s="3"/>
      <c r="X21" s="3"/>
      <c r="Y21" s="3"/>
      <c r="Z21" s="3"/>
      <c r="AA21" s="14"/>
      <c r="AB21" s="18"/>
      <c r="AC21" s="24"/>
      <c r="AD21" s="5"/>
      <c r="AE21" s="3"/>
      <c r="AF21" s="3"/>
      <c r="AG21" s="3"/>
      <c r="AH21" s="3"/>
      <c r="AI21" s="3"/>
      <c r="AJ21" s="14"/>
      <c r="AK21" s="18"/>
      <c r="AL21" s="24"/>
    </row>
    <row r="22" spans="2:38" x14ac:dyDescent="0.25">
      <c r="B22" s="5"/>
      <c r="C22" s="3"/>
      <c r="D22" s="34"/>
      <c r="E22" s="3"/>
      <c r="F22" s="3"/>
      <c r="G22" s="3"/>
      <c r="H22" s="14"/>
      <c r="I22" s="24"/>
      <c r="J22" s="5"/>
      <c r="K22" s="3"/>
      <c r="L22" s="3"/>
      <c r="M22" s="3"/>
      <c r="N22" s="3"/>
      <c r="O22" s="3"/>
      <c r="P22" s="3"/>
      <c r="Q22" s="3"/>
      <c r="R22" s="14"/>
      <c r="S22" s="18"/>
      <c r="T22" s="24"/>
      <c r="U22" s="5"/>
      <c r="V22" s="3"/>
      <c r="W22" s="3"/>
      <c r="X22" s="3"/>
      <c r="Y22" s="3"/>
      <c r="Z22" s="3"/>
      <c r="AA22" s="14"/>
      <c r="AB22" s="18"/>
      <c r="AC22" s="24"/>
      <c r="AD22" s="5"/>
      <c r="AE22" s="3"/>
      <c r="AF22" s="3"/>
      <c r="AG22" s="3"/>
      <c r="AH22" s="3"/>
      <c r="AI22" s="3"/>
      <c r="AJ22" s="14"/>
      <c r="AK22" s="18"/>
      <c r="AL22" s="24"/>
    </row>
    <row r="23" spans="2:38" x14ac:dyDescent="0.25">
      <c r="B23" s="5"/>
      <c r="C23" s="3"/>
      <c r="D23" s="34"/>
      <c r="E23" s="3"/>
      <c r="F23" s="3"/>
      <c r="G23" s="3"/>
      <c r="H23" s="14"/>
      <c r="I23" s="24"/>
      <c r="J23" s="5"/>
      <c r="K23" s="3"/>
      <c r="L23" s="3"/>
      <c r="M23" s="3"/>
      <c r="N23" s="3"/>
      <c r="O23" s="3"/>
      <c r="P23" s="3"/>
      <c r="Q23" s="3"/>
      <c r="R23" s="14"/>
      <c r="S23" s="18"/>
      <c r="T23" s="24"/>
      <c r="U23" s="5"/>
      <c r="V23" s="3"/>
      <c r="W23" s="3"/>
      <c r="X23" s="3"/>
      <c r="Y23" s="3"/>
      <c r="Z23" s="3"/>
      <c r="AA23" s="14"/>
      <c r="AB23" s="18"/>
      <c r="AC23" s="24"/>
      <c r="AD23" s="5"/>
      <c r="AE23" s="3"/>
      <c r="AF23" s="3"/>
      <c r="AG23" s="3"/>
      <c r="AH23" s="3"/>
      <c r="AI23" s="3"/>
      <c r="AJ23" s="14"/>
      <c r="AK23" s="18"/>
      <c r="AL23" s="24"/>
    </row>
    <row r="24" spans="2:38" x14ac:dyDescent="0.25">
      <c r="B24" s="5"/>
      <c r="C24" s="3"/>
      <c r="D24" s="34"/>
      <c r="E24" s="3"/>
      <c r="F24" s="3"/>
      <c r="G24" s="3"/>
      <c r="H24" s="14"/>
      <c r="I24" s="24"/>
      <c r="J24" s="5"/>
      <c r="K24" s="3"/>
      <c r="L24" s="3"/>
      <c r="M24" s="3"/>
      <c r="N24" s="3"/>
      <c r="O24" s="3"/>
      <c r="P24" s="3"/>
      <c r="Q24" s="3"/>
      <c r="R24" s="14"/>
      <c r="S24" s="18"/>
      <c r="T24" s="24"/>
      <c r="U24" s="5"/>
      <c r="V24" s="3"/>
      <c r="W24" s="3"/>
      <c r="X24" s="3"/>
      <c r="Y24" s="3"/>
      <c r="Z24" s="3"/>
      <c r="AA24" s="14"/>
      <c r="AB24" s="18"/>
      <c r="AC24" s="24"/>
      <c r="AD24" s="5"/>
      <c r="AE24" s="3"/>
      <c r="AF24" s="3"/>
      <c r="AG24" s="3"/>
      <c r="AH24" s="3"/>
      <c r="AI24" s="3"/>
      <c r="AJ24" s="14"/>
      <c r="AK24" s="18"/>
      <c r="AL24" s="24"/>
    </row>
    <row r="25" spans="2:38" x14ac:dyDescent="0.25">
      <c r="B25" s="5"/>
      <c r="C25" s="3"/>
      <c r="D25" s="34"/>
      <c r="E25" s="3"/>
      <c r="F25" s="3"/>
      <c r="G25" s="3"/>
      <c r="H25" s="14"/>
      <c r="I25" s="24"/>
      <c r="J25" s="5"/>
      <c r="K25" s="3"/>
      <c r="L25" s="3"/>
      <c r="M25" s="3"/>
      <c r="N25" s="3"/>
      <c r="O25" s="3"/>
      <c r="P25" s="3"/>
      <c r="Q25" s="3"/>
      <c r="R25" s="14"/>
      <c r="S25" s="18"/>
      <c r="T25" s="24"/>
      <c r="U25" s="5"/>
      <c r="V25" s="3"/>
      <c r="W25" s="3"/>
      <c r="X25" s="3"/>
      <c r="Y25" s="3"/>
      <c r="Z25" s="3"/>
      <c r="AA25" s="14"/>
      <c r="AB25" s="18"/>
      <c r="AC25" s="24"/>
      <c r="AD25" s="5"/>
      <c r="AE25" s="3"/>
      <c r="AF25" s="3"/>
      <c r="AG25" s="3"/>
      <c r="AH25" s="3"/>
      <c r="AI25" s="3"/>
      <c r="AJ25" s="14"/>
      <c r="AK25" s="18"/>
      <c r="AL25" s="24"/>
    </row>
    <row r="26" spans="2:38" x14ac:dyDescent="0.25">
      <c r="B26" s="5"/>
      <c r="C26" s="3"/>
      <c r="D26" s="34"/>
      <c r="E26" s="3"/>
      <c r="F26" s="3"/>
      <c r="G26" s="3"/>
      <c r="H26" s="14"/>
      <c r="I26" s="24"/>
      <c r="J26" s="5"/>
      <c r="K26" s="3"/>
      <c r="L26" s="3"/>
      <c r="M26" s="3"/>
      <c r="N26" s="3"/>
      <c r="O26" s="3"/>
      <c r="P26" s="3"/>
      <c r="Q26" s="3"/>
      <c r="R26" s="14"/>
      <c r="S26" s="18"/>
      <c r="T26" s="24"/>
      <c r="U26" s="5"/>
      <c r="V26" s="3"/>
      <c r="W26" s="3"/>
      <c r="X26" s="3"/>
      <c r="Y26" s="3"/>
      <c r="Z26" s="3"/>
      <c r="AA26" s="14"/>
      <c r="AB26" s="18"/>
      <c r="AC26" s="24"/>
      <c r="AD26" s="5"/>
      <c r="AE26" s="3"/>
      <c r="AF26" s="3"/>
      <c r="AG26" s="3"/>
      <c r="AH26" s="3"/>
      <c r="AI26" s="3"/>
      <c r="AJ26" s="14"/>
      <c r="AK26" s="18"/>
      <c r="AL26" s="24"/>
    </row>
    <row r="27" spans="2:38" x14ac:dyDescent="0.25">
      <c r="B27" s="5"/>
      <c r="C27" s="3"/>
      <c r="D27" s="34"/>
      <c r="E27" s="3"/>
      <c r="F27" s="3"/>
      <c r="G27" s="3"/>
      <c r="H27" s="14"/>
      <c r="I27" s="24"/>
      <c r="J27" s="5"/>
      <c r="K27" s="3"/>
      <c r="L27" s="3"/>
      <c r="M27" s="3"/>
      <c r="N27" s="3"/>
      <c r="O27" s="3"/>
      <c r="P27" s="3"/>
      <c r="Q27" s="3"/>
      <c r="R27" s="14"/>
      <c r="S27" s="18"/>
      <c r="T27" s="24"/>
      <c r="U27" s="5"/>
      <c r="V27" s="3"/>
      <c r="W27" s="3"/>
      <c r="X27" s="3"/>
      <c r="Y27" s="3"/>
      <c r="Z27" s="3"/>
      <c r="AA27" s="14"/>
      <c r="AB27" s="18"/>
      <c r="AC27" s="24"/>
      <c r="AD27" s="5"/>
      <c r="AE27" s="3"/>
      <c r="AF27" s="3"/>
      <c r="AG27" s="3"/>
      <c r="AH27" s="3"/>
      <c r="AI27" s="3"/>
      <c r="AJ27" s="14"/>
      <c r="AK27" s="18"/>
      <c r="AL27" s="24"/>
    </row>
    <row r="28" spans="2:38" x14ac:dyDescent="0.25">
      <c r="B28" s="5"/>
      <c r="C28" s="3"/>
      <c r="D28" s="34"/>
      <c r="E28" s="3"/>
      <c r="F28" s="3"/>
      <c r="G28" s="3"/>
      <c r="H28" s="14"/>
      <c r="I28" s="24"/>
      <c r="J28" s="5"/>
      <c r="K28" s="3"/>
      <c r="L28" s="3"/>
      <c r="M28" s="3"/>
      <c r="N28" s="3"/>
      <c r="O28" s="3"/>
      <c r="P28" s="3"/>
      <c r="Q28" s="3"/>
      <c r="R28" s="14"/>
      <c r="S28" s="18"/>
      <c r="T28" s="24"/>
      <c r="U28" s="5"/>
      <c r="V28" s="3"/>
      <c r="W28" s="3"/>
      <c r="X28" s="3"/>
      <c r="Y28" s="3"/>
      <c r="Z28" s="3"/>
      <c r="AA28" s="14"/>
      <c r="AB28" s="18"/>
      <c r="AC28" s="24"/>
      <c r="AD28" s="5"/>
      <c r="AE28" s="3"/>
      <c r="AF28" s="3"/>
      <c r="AG28" s="3"/>
      <c r="AH28" s="3"/>
      <c r="AI28" s="3"/>
      <c r="AJ28" s="14"/>
      <c r="AK28" s="18"/>
      <c r="AL28" s="24"/>
    </row>
    <row r="29" spans="2:38" x14ac:dyDescent="0.25">
      <c r="B29" s="5"/>
      <c r="C29" s="3"/>
      <c r="D29" s="34"/>
      <c r="E29" s="3"/>
      <c r="F29" s="3"/>
      <c r="G29" s="3"/>
      <c r="H29" s="14"/>
      <c r="I29" s="24"/>
      <c r="J29" s="5"/>
      <c r="K29" s="3"/>
      <c r="L29" s="3"/>
      <c r="M29" s="3"/>
      <c r="N29" s="3"/>
      <c r="O29" s="3"/>
      <c r="P29" s="3"/>
      <c r="Q29" s="3"/>
      <c r="R29" s="14"/>
      <c r="S29" s="18"/>
      <c r="T29" s="24"/>
      <c r="U29" s="5"/>
      <c r="V29" s="3"/>
      <c r="W29" s="3"/>
      <c r="X29" s="3"/>
      <c r="Y29" s="3"/>
      <c r="Z29" s="3"/>
      <c r="AA29" s="14"/>
      <c r="AB29" s="18"/>
      <c r="AC29" s="24"/>
      <c r="AD29" s="5"/>
      <c r="AE29" s="3"/>
      <c r="AF29" s="3"/>
      <c r="AG29" s="3"/>
      <c r="AH29" s="3"/>
      <c r="AI29" s="3"/>
      <c r="AJ29" s="14"/>
      <c r="AK29" s="18"/>
      <c r="AL29" s="24"/>
    </row>
    <row r="30" spans="2:38" x14ac:dyDescent="0.25">
      <c r="B30" s="5"/>
      <c r="C30" s="3"/>
      <c r="D30" s="34"/>
      <c r="E30" s="3"/>
      <c r="F30" s="3"/>
      <c r="G30" s="3"/>
      <c r="H30" s="14"/>
      <c r="I30" s="24"/>
      <c r="J30" s="5"/>
      <c r="K30" s="3"/>
      <c r="L30" s="3"/>
      <c r="M30" s="3"/>
      <c r="N30" s="3"/>
      <c r="O30" s="3"/>
      <c r="P30" s="3"/>
      <c r="Q30" s="3"/>
      <c r="R30" s="14"/>
      <c r="S30" s="18"/>
      <c r="T30" s="24"/>
      <c r="U30" s="5"/>
      <c r="V30" s="3"/>
      <c r="W30" s="3"/>
      <c r="X30" s="3"/>
      <c r="Y30" s="3"/>
      <c r="Z30" s="3"/>
      <c r="AA30" s="14"/>
      <c r="AB30" s="18"/>
      <c r="AC30" s="24"/>
      <c r="AD30" s="5"/>
      <c r="AE30" s="3"/>
      <c r="AF30" s="3"/>
      <c r="AG30" s="3"/>
      <c r="AH30" s="3"/>
      <c r="AI30" s="3"/>
      <c r="AJ30" s="14"/>
      <c r="AK30" s="18"/>
      <c r="AL30" s="24"/>
    </row>
    <row r="31" spans="2:38" x14ac:dyDescent="0.25">
      <c r="B31" s="5"/>
      <c r="C31" s="3"/>
      <c r="D31" s="34"/>
      <c r="E31" s="3"/>
      <c r="F31" s="3"/>
      <c r="G31" s="3"/>
      <c r="H31" s="14"/>
      <c r="I31" s="24"/>
      <c r="J31" s="5"/>
      <c r="K31" s="3"/>
      <c r="L31" s="3"/>
      <c r="M31" s="3"/>
      <c r="N31" s="3"/>
      <c r="O31" s="3"/>
      <c r="P31" s="3"/>
      <c r="Q31" s="3"/>
      <c r="R31" s="14"/>
      <c r="S31" s="18"/>
      <c r="T31" s="24"/>
      <c r="U31" s="5"/>
      <c r="V31" s="3"/>
      <c r="W31" s="3"/>
      <c r="X31" s="3"/>
      <c r="Y31" s="3"/>
      <c r="Z31" s="3"/>
      <c r="AA31" s="14"/>
      <c r="AB31" s="18"/>
      <c r="AC31" s="24"/>
      <c r="AD31" s="5"/>
      <c r="AE31" s="3"/>
      <c r="AF31" s="3"/>
      <c r="AG31" s="3"/>
      <c r="AH31" s="3"/>
      <c r="AI31" s="3"/>
      <c r="AJ31" s="14"/>
      <c r="AK31" s="18"/>
      <c r="AL31" s="24"/>
    </row>
    <row r="32" spans="2:38" x14ac:dyDescent="0.25">
      <c r="B32" s="5"/>
      <c r="C32" s="3"/>
      <c r="D32" s="34"/>
      <c r="E32" s="3"/>
      <c r="F32" s="3"/>
      <c r="G32" s="3"/>
      <c r="H32" s="14"/>
      <c r="I32" s="24"/>
      <c r="J32" s="5"/>
      <c r="K32" s="3"/>
      <c r="L32" s="3"/>
      <c r="M32" s="3"/>
      <c r="N32" s="3"/>
      <c r="O32" s="3"/>
      <c r="P32" s="3"/>
      <c r="Q32" s="3"/>
      <c r="R32" s="14"/>
      <c r="S32" s="18"/>
      <c r="T32" s="24"/>
      <c r="U32" s="5"/>
      <c r="V32" s="3"/>
      <c r="W32" s="3"/>
      <c r="X32" s="3"/>
      <c r="Y32" s="3"/>
      <c r="Z32" s="3"/>
      <c r="AA32" s="14"/>
      <c r="AB32" s="18"/>
      <c r="AC32" s="24"/>
      <c r="AD32" s="5"/>
      <c r="AE32" s="3"/>
      <c r="AF32" s="3"/>
      <c r="AG32" s="3"/>
      <c r="AH32" s="3"/>
      <c r="AI32" s="3"/>
      <c r="AJ32" s="14"/>
      <c r="AK32" s="18"/>
      <c r="AL32" s="24"/>
    </row>
    <row r="33" spans="2:38" x14ac:dyDescent="0.25">
      <c r="B33" s="5"/>
      <c r="C33" s="3"/>
      <c r="D33" s="34"/>
      <c r="E33" s="3"/>
      <c r="F33" s="3"/>
      <c r="G33" s="3"/>
      <c r="H33" s="14"/>
      <c r="I33" s="24"/>
      <c r="J33" s="5"/>
      <c r="K33" s="3"/>
      <c r="L33" s="3"/>
      <c r="M33" s="3"/>
      <c r="N33" s="3"/>
      <c r="O33" s="3"/>
      <c r="P33" s="3"/>
      <c r="Q33" s="3"/>
      <c r="R33" s="14"/>
      <c r="S33" s="18"/>
      <c r="T33" s="24"/>
      <c r="U33" s="5"/>
      <c r="V33" s="3"/>
      <c r="W33" s="3"/>
      <c r="X33" s="3"/>
      <c r="Y33" s="3"/>
      <c r="Z33" s="3"/>
      <c r="AA33" s="14"/>
      <c r="AB33" s="18"/>
      <c r="AC33" s="24"/>
      <c r="AD33" s="5"/>
      <c r="AE33" s="3"/>
      <c r="AF33" s="3"/>
      <c r="AG33" s="3"/>
      <c r="AH33" s="3"/>
      <c r="AI33" s="3"/>
      <c r="AJ33" s="14"/>
      <c r="AK33" s="18"/>
      <c r="AL33" s="24"/>
    </row>
    <row r="34" spans="2:38" x14ac:dyDescent="0.25">
      <c r="B34" s="5"/>
      <c r="C34" s="3"/>
      <c r="D34" s="34"/>
      <c r="E34" s="3"/>
      <c r="F34" s="3"/>
      <c r="G34" s="3"/>
      <c r="H34" s="14"/>
      <c r="I34" s="24"/>
      <c r="J34" s="5"/>
      <c r="K34" s="3"/>
      <c r="L34" s="3"/>
      <c r="M34" s="3"/>
      <c r="N34" s="3"/>
      <c r="O34" s="3"/>
      <c r="P34" s="3"/>
      <c r="Q34" s="3"/>
      <c r="R34" s="14"/>
      <c r="S34" s="18"/>
      <c r="T34" s="24"/>
      <c r="U34" s="5"/>
      <c r="V34" s="3"/>
      <c r="W34" s="3"/>
      <c r="X34" s="3"/>
      <c r="Y34" s="3"/>
      <c r="Z34" s="3"/>
      <c r="AA34" s="14"/>
      <c r="AB34" s="18"/>
      <c r="AC34" s="24"/>
      <c r="AD34" s="5"/>
      <c r="AE34" s="3"/>
      <c r="AF34" s="3"/>
      <c r="AG34" s="3"/>
      <c r="AH34" s="3"/>
      <c r="AI34" s="3"/>
      <c r="AJ34" s="14"/>
      <c r="AK34" s="18"/>
      <c r="AL34" s="24"/>
    </row>
    <row r="35" spans="2:38" x14ac:dyDescent="0.25">
      <c r="B35" s="5"/>
      <c r="C35" s="3"/>
      <c r="D35" s="34"/>
      <c r="E35" s="3"/>
      <c r="F35" s="3"/>
      <c r="G35" s="3"/>
      <c r="H35" s="14"/>
      <c r="I35" s="24"/>
      <c r="J35" s="5"/>
      <c r="K35" s="3"/>
      <c r="L35" s="3"/>
      <c r="M35" s="3"/>
      <c r="N35" s="3"/>
      <c r="O35" s="3"/>
      <c r="P35" s="3"/>
      <c r="Q35" s="3"/>
      <c r="R35" s="14"/>
      <c r="S35" s="18"/>
      <c r="T35" s="24"/>
      <c r="U35" s="5"/>
      <c r="V35" s="3"/>
      <c r="W35" s="3"/>
      <c r="X35" s="3"/>
      <c r="Y35" s="3"/>
      <c r="Z35" s="3"/>
      <c r="AA35" s="14"/>
      <c r="AB35" s="18"/>
      <c r="AC35" s="24"/>
      <c r="AD35" s="5"/>
      <c r="AE35" s="3"/>
      <c r="AF35" s="3"/>
      <c r="AG35" s="3"/>
      <c r="AH35" s="3"/>
      <c r="AI35" s="3"/>
      <c r="AJ35" s="14"/>
      <c r="AK35" s="18"/>
      <c r="AL35" s="24"/>
    </row>
    <row r="36" spans="2:38" x14ac:dyDescent="0.25">
      <c r="B36" s="5"/>
      <c r="C36" s="3"/>
      <c r="D36" s="34"/>
      <c r="E36" s="3"/>
      <c r="F36" s="3"/>
      <c r="G36" s="3"/>
      <c r="H36" s="14"/>
      <c r="I36" s="24"/>
      <c r="J36" s="5"/>
      <c r="K36" s="3"/>
      <c r="L36" s="3"/>
      <c r="M36" s="3"/>
      <c r="N36" s="3"/>
      <c r="O36" s="3"/>
      <c r="P36" s="3"/>
      <c r="Q36" s="3"/>
      <c r="R36" s="14"/>
      <c r="S36" s="18"/>
      <c r="T36" s="24"/>
      <c r="U36" s="5"/>
      <c r="V36" s="3"/>
      <c r="W36" s="3"/>
      <c r="X36" s="3"/>
      <c r="Y36" s="3"/>
      <c r="Z36" s="3"/>
      <c r="AA36" s="14"/>
      <c r="AB36" s="18"/>
      <c r="AC36" s="24"/>
      <c r="AD36" s="5"/>
      <c r="AE36" s="3"/>
      <c r="AF36" s="3"/>
      <c r="AG36" s="3"/>
      <c r="AH36" s="3"/>
      <c r="AI36" s="3"/>
      <c r="AJ36" s="14"/>
      <c r="AK36" s="18"/>
      <c r="AL36" s="24"/>
    </row>
    <row r="37" spans="2:38" x14ac:dyDescent="0.25">
      <c r="B37" s="5"/>
      <c r="C37" s="3"/>
      <c r="D37" s="34"/>
      <c r="E37" s="3"/>
      <c r="F37" s="3"/>
      <c r="G37" s="3"/>
      <c r="H37" s="14"/>
      <c r="I37" s="24"/>
      <c r="J37" s="5"/>
      <c r="K37" s="3"/>
      <c r="L37" s="3"/>
      <c r="M37" s="3"/>
      <c r="N37" s="3"/>
      <c r="O37" s="3"/>
      <c r="P37" s="3"/>
      <c r="Q37" s="3"/>
      <c r="R37" s="14"/>
      <c r="S37" s="18"/>
      <c r="T37" s="24"/>
      <c r="U37" s="5"/>
      <c r="V37" s="3"/>
      <c r="W37" s="3"/>
      <c r="X37" s="3"/>
      <c r="Y37" s="3"/>
      <c r="Z37" s="3"/>
      <c r="AA37" s="14"/>
      <c r="AB37" s="18"/>
      <c r="AC37" s="24"/>
      <c r="AD37" s="5"/>
      <c r="AE37" s="3"/>
      <c r="AF37" s="3"/>
      <c r="AG37" s="3"/>
      <c r="AH37" s="3"/>
      <c r="AI37" s="3"/>
      <c r="AJ37" s="14"/>
      <c r="AK37" s="18"/>
      <c r="AL37" s="24"/>
    </row>
    <row r="38" spans="2:38" x14ac:dyDescent="0.25">
      <c r="B38" s="5"/>
      <c r="C38" s="3"/>
      <c r="D38" s="34"/>
      <c r="E38" s="3"/>
      <c r="F38" s="3"/>
      <c r="G38" s="3"/>
      <c r="H38" s="14"/>
      <c r="I38" s="24"/>
      <c r="J38" s="5"/>
      <c r="K38" s="3"/>
      <c r="L38" s="3"/>
      <c r="M38" s="3"/>
      <c r="N38" s="3"/>
      <c r="O38" s="3"/>
      <c r="P38" s="3"/>
      <c r="Q38" s="3"/>
      <c r="R38" s="14"/>
      <c r="S38" s="18"/>
      <c r="T38" s="24"/>
      <c r="U38" s="5"/>
      <c r="V38" s="3"/>
      <c r="W38" s="3"/>
      <c r="X38" s="3"/>
      <c r="Y38" s="3"/>
      <c r="Z38" s="3"/>
      <c r="AA38" s="14"/>
      <c r="AB38" s="18"/>
      <c r="AC38" s="24"/>
      <c r="AD38" s="5"/>
      <c r="AE38" s="3"/>
      <c r="AF38" s="3"/>
      <c r="AG38" s="3"/>
      <c r="AH38" s="3"/>
      <c r="AI38" s="3"/>
      <c r="AJ38" s="14"/>
      <c r="AK38" s="18"/>
      <c r="AL38" s="24"/>
    </row>
    <row r="39" spans="2:38" x14ac:dyDescent="0.25">
      <c r="B39" s="5"/>
      <c r="C39" s="3"/>
      <c r="D39" s="34"/>
      <c r="E39" s="3"/>
      <c r="F39" s="3"/>
      <c r="G39" s="3"/>
      <c r="H39" s="14"/>
      <c r="I39" s="24"/>
      <c r="J39" s="5"/>
      <c r="K39" s="3"/>
      <c r="L39" s="3"/>
      <c r="M39" s="3"/>
      <c r="N39" s="3"/>
      <c r="O39" s="3"/>
      <c r="P39" s="3"/>
      <c r="Q39" s="3"/>
      <c r="R39" s="14"/>
      <c r="S39" s="18"/>
      <c r="T39" s="24"/>
      <c r="U39" s="5"/>
      <c r="V39" s="3"/>
      <c r="W39" s="3"/>
      <c r="X39" s="3"/>
      <c r="Y39" s="3"/>
      <c r="Z39" s="3"/>
      <c r="AA39" s="14"/>
      <c r="AB39" s="18"/>
      <c r="AC39" s="24"/>
      <c r="AD39" s="5"/>
      <c r="AE39" s="3"/>
      <c r="AF39" s="3"/>
      <c r="AG39" s="3"/>
      <c r="AH39" s="3"/>
      <c r="AI39" s="3"/>
      <c r="AJ39" s="14"/>
      <c r="AK39" s="18"/>
      <c r="AL39" s="24"/>
    </row>
    <row r="40" spans="2:38" x14ac:dyDescent="0.25">
      <c r="B40" s="5"/>
      <c r="C40" s="3"/>
      <c r="D40" s="34"/>
      <c r="E40" s="3"/>
      <c r="F40" s="3"/>
      <c r="G40" s="3"/>
      <c r="H40" s="14"/>
      <c r="I40" s="24"/>
      <c r="J40" s="5"/>
      <c r="K40" s="3"/>
      <c r="L40" s="3"/>
      <c r="M40" s="3"/>
      <c r="N40" s="3"/>
      <c r="O40" s="3"/>
      <c r="P40" s="3"/>
      <c r="Q40" s="3"/>
      <c r="R40" s="14"/>
      <c r="S40" s="18"/>
      <c r="T40" s="24"/>
      <c r="U40" s="5"/>
      <c r="V40" s="3"/>
      <c r="W40" s="3"/>
      <c r="X40" s="3"/>
      <c r="Y40" s="3"/>
      <c r="Z40" s="3"/>
      <c r="AA40" s="14"/>
      <c r="AB40" s="18"/>
      <c r="AC40" s="24"/>
      <c r="AD40" s="5"/>
      <c r="AE40" s="3"/>
      <c r="AF40" s="3"/>
      <c r="AG40" s="3"/>
      <c r="AH40" s="3"/>
      <c r="AI40" s="3"/>
      <c r="AJ40" s="14"/>
      <c r="AK40" s="18"/>
      <c r="AL40" s="24"/>
    </row>
    <row r="41" spans="2:38" x14ac:dyDescent="0.25">
      <c r="B41" s="5"/>
      <c r="C41" s="3"/>
      <c r="D41" s="34"/>
      <c r="E41" s="3"/>
      <c r="F41" s="3"/>
      <c r="G41" s="3"/>
      <c r="H41" s="14"/>
      <c r="I41" s="24"/>
      <c r="J41" s="5"/>
      <c r="K41" s="3"/>
      <c r="L41" s="3"/>
      <c r="M41" s="3"/>
      <c r="N41" s="3"/>
      <c r="O41" s="3"/>
      <c r="P41" s="3"/>
      <c r="Q41" s="3"/>
      <c r="R41" s="14"/>
      <c r="S41" s="18"/>
      <c r="T41" s="24"/>
      <c r="U41" s="5"/>
      <c r="V41" s="3"/>
      <c r="W41" s="3"/>
      <c r="X41" s="3"/>
      <c r="Y41" s="3"/>
      <c r="Z41" s="3"/>
      <c r="AA41" s="14"/>
      <c r="AB41" s="18"/>
      <c r="AC41" s="24"/>
      <c r="AD41" s="5"/>
      <c r="AE41" s="3"/>
      <c r="AF41" s="3"/>
      <c r="AG41" s="3"/>
      <c r="AH41" s="3"/>
      <c r="AI41" s="3"/>
      <c r="AJ41" s="14"/>
      <c r="AK41" s="18"/>
      <c r="AL41" s="24"/>
    </row>
    <row r="42" spans="2:38" x14ac:dyDescent="0.25">
      <c r="B42" s="5"/>
      <c r="C42" s="3"/>
      <c r="D42" s="34"/>
      <c r="E42" s="3"/>
      <c r="F42" s="3"/>
      <c r="G42" s="3"/>
      <c r="H42" s="14"/>
      <c r="I42" s="24"/>
      <c r="J42" s="5"/>
      <c r="K42" s="3"/>
      <c r="L42" s="3"/>
      <c r="M42" s="3"/>
      <c r="N42" s="3"/>
      <c r="O42" s="3"/>
      <c r="P42" s="3"/>
      <c r="Q42" s="3"/>
      <c r="R42" s="14"/>
      <c r="S42" s="18"/>
      <c r="T42" s="24"/>
      <c r="U42" s="5"/>
      <c r="V42" s="3"/>
      <c r="W42" s="3"/>
      <c r="X42" s="3"/>
      <c r="Y42" s="3"/>
      <c r="Z42" s="3"/>
      <c r="AA42" s="14"/>
      <c r="AB42" s="18"/>
      <c r="AC42" s="24"/>
      <c r="AD42" s="5"/>
      <c r="AE42" s="3"/>
      <c r="AF42" s="3"/>
      <c r="AG42" s="3"/>
      <c r="AH42" s="3"/>
      <c r="AI42" s="3"/>
      <c r="AJ42" s="14"/>
      <c r="AK42" s="18"/>
      <c r="AL42" s="24"/>
    </row>
    <row r="43" spans="2:38" x14ac:dyDescent="0.25">
      <c r="B43" s="5"/>
      <c r="C43" s="3"/>
      <c r="D43" s="34"/>
      <c r="E43" s="3"/>
      <c r="F43" s="3"/>
      <c r="G43" s="3"/>
      <c r="H43" s="14"/>
      <c r="I43" s="24"/>
      <c r="J43" s="5"/>
      <c r="K43" s="3"/>
      <c r="L43" s="3"/>
      <c r="M43" s="3"/>
      <c r="N43" s="3"/>
      <c r="O43" s="3"/>
      <c r="P43" s="3"/>
      <c r="Q43" s="3"/>
      <c r="R43" s="14"/>
      <c r="S43" s="18"/>
      <c r="T43" s="24"/>
      <c r="U43" s="5"/>
      <c r="V43" s="3"/>
      <c r="W43" s="3"/>
      <c r="X43" s="3"/>
      <c r="Y43" s="3"/>
      <c r="Z43" s="3"/>
      <c r="AA43" s="14"/>
      <c r="AB43" s="18"/>
      <c r="AC43" s="24"/>
      <c r="AD43" s="5"/>
      <c r="AE43" s="3"/>
      <c r="AF43" s="3"/>
      <c r="AG43" s="3"/>
      <c r="AH43" s="3"/>
      <c r="AI43" s="3"/>
      <c r="AJ43" s="14"/>
      <c r="AK43" s="18"/>
      <c r="AL43" s="24"/>
    </row>
    <row r="44" spans="2:38" x14ac:dyDescent="0.25">
      <c r="B44" s="5"/>
      <c r="C44" s="3"/>
      <c r="D44" s="34"/>
      <c r="E44" s="3"/>
      <c r="F44" s="3"/>
      <c r="G44" s="3"/>
      <c r="H44" s="14"/>
      <c r="I44" s="24"/>
      <c r="J44" s="5"/>
      <c r="K44" s="3"/>
      <c r="L44" s="3"/>
      <c r="M44" s="3"/>
      <c r="N44" s="3"/>
      <c r="O44" s="3"/>
      <c r="P44" s="3"/>
      <c r="Q44" s="3"/>
      <c r="R44" s="14"/>
      <c r="S44" s="18"/>
      <c r="T44" s="24"/>
      <c r="U44" s="5"/>
      <c r="V44" s="3"/>
      <c r="W44" s="3"/>
      <c r="X44" s="3"/>
      <c r="Y44" s="3"/>
      <c r="Z44" s="3"/>
      <c r="AA44" s="14"/>
      <c r="AB44" s="18"/>
      <c r="AC44" s="24"/>
      <c r="AD44" s="5"/>
      <c r="AE44" s="3"/>
      <c r="AF44" s="3"/>
      <c r="AG44" s="3"/>
      <c r="AH44" s="3"/>
      <c r="AI44" s="3"/>
      <c r="AJ44" s="14"/>
      <c r="AK44" s="18"/>
      <c r="AL44" s="24"/>
    </row>
    <row r="45" spans="2:38" x14ac:dyDescent="0.25">
      <c r="B45" s="5"/>
      <c r="C45" s="3"/>
      <c r="D45" s="34"/>
      <c r="E45" s="3"/>
      <c r="F45" s="3"/>
      <c r="G45" s="3"/>
      <c r="H45" s="14"/>
      <c r="I45" s="24"/>
      <c r="J45" s="5"/>
      <c r="K45" s="3"/>
      <c r="L45" s="3"/>
      <c r="M45" s="3"/>
      <c r="N45" s="3"/>
      <c r="O45" s="3"/>
      <c r="P45" s="3"/>
      <c r="Q45" s="3"/>
      <c r="R45" s="14"/>
      <c r="S45" s="18"/>
      <c r="T45" s="24"/>
      <c r="U45" s="5"/>
      <c r="V45" s="3"/>
      <c r="W45" s="3"/>
      <c r="X45" s="3"/>
      <c r="Y45" s="3"/>
      <c r="Z45" s="3"/>
      <c r="AA45" s="14"/>
      <c r="AB45" s="18"/>
      <c r="AC45" s="24"/>
      <c r="AD45" s="5"/>
      <c r="AE45" s="3"/>
      <c r="AF45" s="3"/>
      <c r="AG45" s="3"/>
      <c r="AH45" s="3"/>
      <c r="AI45" s="3"/>
      <c r="AJ45" s="14"/>
      <c r="AK45" s="18"/>
      <c r="AL45" s="24"/>
    </row>
    <row r="46" spans="2:38" x14ac:dyDescent="0.25">
      <c r="B46" s="5"/>
      <c r="C46" s="3"/>
      <c r="D46" s="34"/>
      <c r="E46" s="3"/>
      <c r="F46" s="3"/>
      <c r="G46" s="3"/>
      <c r="H46" s="14"/>
      <c r="I46" s="24"/>
      <c r="J46" s="5"/>
      <c r="K46" s="3"/>
      <c r="L46" s="3"/>
      <c r="M46" s="3"/>
      <c r="N46" s="3"/>
      <c r="O46" s="3"/>
      <c r="P46" s="3"/>
      <c r="Q46" s="3"/>
      <c r="R46" s="14"/>
      <c r="S46" s="18"/>
      <c r="T46" s="24"/>
      <c r="U46" s="5"/>
      <c r="V46" s="3"/>
      <c r="W46" s="3"/>
      <c r="X46" s="3"/>
      <c r="Y46" s="3"/>
      <c r="Z46" s="3"/>
      <c r="AA46" s="14"/>
      <c r="AB46" s="18"/>
      <c r="AC46" s="24"/>
      <c r="AD46" s="5"/>
      <c r="AE46" s="3"/>
      <c r="AF46" s="3"/>
      <c r="AG46" s="3"/>
      <c r="AH46" s="3"/>
      <c r="AI46" s="3"/>
      <c r="AJ46" s="14"/>
      <c r="AK46" s="18"/>
      <c r="AL46" s="24"/>
    </row>
    <row r="47" spans="2:38" x14ac:dyDescent="0.25">
      <c r="B47" s="5"/>
      <c r="C47" s="3"/>
      <c r="D47" s="34"/>
      <c r="E47" s="3"/>
      <c r="F47" s="3"/>
      <c r="G47" s="3"/>
      <c r="H47" s="14"/>
      <c r="I47" s="24"/>
      <c r="J47" s="5"/>
      <c r="K47" s="3"/>
      <c r="L47" s="3"/>
      <c r="M47" s="3"/>
      <c r="N47" s="3"/>
      <c r="O47" s="3"/>
      <c r="P47" s="3"/>
      <c r="Q47" s="3"/>
      <c r="R47" s="14"/>
      <c r="S47" s="18"/>
      <c r="T47" s="24"/>
      <c r="U47" s="5"/>
      <c r="V47" s="3"/>
      <c r="W47" s="3"/>
      <c r="X47" s="3"/>
      <c r="Y47" s="3"/>
      <c r="Z47" s="3"/>
      <c r="AA47" s="14"/>
      <c r="AB47" s="18"/>
      <c r="AC47" s="24"/>
      <c r="AD47" s="5"/>
      <c r="AE47" s="3"/>
      <c r="AF47" s="3"/>
      <c r="AG47" s="3"/>
      <c r="AH47" s="3"/>
      <c r="AI47" s="3"/>
      <c r="AJ47" s="14"/>
      <c r="AK47" s="18"/>
      <c r="AL47" s="24"/>
    </row>
    <row r="48" spans="2:38" x14ac:dyDescent="0.25">
      <c r="B48" s="5"/>
      <c r="C48" s="3"/>
      <c r="D48" s="34"/>
      <c r="E48" s="3"/>
      <c r="F48" s="3"/>
      <c r="G48" s="3"/>
      <c r="H48" s="14"/>
      <c r="I48" s="24"/>
      <c r="J48" s="5"/>
      <c r="K48" s="3"/>
      <c r="L48" s="3"/>
      <c r="M48" s="3"/>
      <c r="N48" s="3"/>
      <c r="O48" s="3"/>
      <c r="P48" s="3"/>
      <c r="Q48" s="3"/>
      <c r="R48" s="14"/>
      <c r="S48" s="18"/>
      <c r="T48" s="24"/>
      <c r="U48" s="5"/>
      <c r="V48" s="3"/>
      <c r="W48" s="3"/>
      <c r="X48" s="3"/>
      <c r="Y48" s="3"/>
      <c r="Z48" s="3"/>
      <c r="AA48" s="14"/>
      <c r="AB48" s="18"/>
      <c r="AC48" s="24"/>
      <c r="AD48" s="5"/>
      <c r="AE48" s="3"/>
      <c r="AF48" s="3"/>
      <c r="AG48" s="3"/>
      <c r="AH48" s="3"/>
      <c r="AI48" s="3"/>
      <c r="AJ48" s="14"/>
      <c r="AK48" s="18"/>
      <c r="AL48" s="24"/>
    </row>
    <row r="49" spans="2:38" x14ac:dyDescent="0.25">
      <c r="B49" s="5"/>
      <c r="C49" s="3"/>
      <c r="D49" s="34"/>
      <c r="E49" s="3"/>
      <c r="F49" s="3"/>
      <c r="G49" s="3"/>
      <c r="H49" s="14"/>
      <c r="I49" s="24"/>
      <c r="J49" s="5"/>
      <c r="K49" s="3"/>
      <c r="L49" s="3"/>
      <c r="M49" s="3"/>
      <c r="N49" s="3"/>
      <c r="O49" s="3"/>
      <c r="P49" s="3"/>
      <c r="Q49" s="3"/>
      <c r="R49" s="14"/>
      <c r="S49" s="18"/>
      <c r="T49" s="24"/>
      <c r="U49" s="5"/>
      <c r="V49" s="3"/>
      <c r="W49" s="3"/>
      <c r="X49" s="3"/>
      <c r="Y49" s="3"/>
      <c r="Z49" s="3"/>
      <c r="AA49" s="14"/>
      <c r="AB49" s="18"/>
      <c r="AC49" s="24"/>
      <c r="AD49" s="5"/>
      <c r="AE49" s="3"/>
      <c r="AF49" s="3"/>
      <c r="AG49" s="3"/>
      <c r="AH49" s="3"/>
      <c r="AI49" s="3"/>
      <c r="AJ49" s="14"/>
      <c r="AK49" s="18"/>
      <c r="AL49" s="24"/>
    </row>
    <row r="50" spans="2:38" x14ac:dyDescent="0.25">
      <c r="B50" s="5"/>
      <c r="C50" s="3"/>
      <c r="D50" s="34"/>
      <c r="E50" s="3"/>
      <c r="F50" s="3"/>
      <c r="G50" s="3"/>
      <c r="H50" s="14"/>
      <c r="I50" s="24"/>
      <c r="J50" s="5"/>
      <c r="K50" s="3"/>
      <c r="L50" s="3"/>
      <c r="M50" s="3"/>
      <c r="N50" s="3"/>
      <c r="O50" s="3"/>
      <c r="P50" s="3"/>
      <c r="Q50" s="3"/>
      <c r="R50" s="14"/>
      <c r="S50" s="18"/>
      <c r="T50" s="24"/>
      <c r="U50" s="5"/>
      <c r="V50" s="3"/>
      <c r="W50" s="3"/>
      <c r="X50" s="3"/>
      <c r="Y50" s="3"/>
      <c r="Z50" s="3"/>
      <c r="AA50" s="14"/>
      <c r="AB50" s="18"/>
      <c r="AC50" s="24"/>
      <c r="AD50" s="5"/>
      <c r="AE50" s="3"/>
      <c r="AF50" s="3"/>
      <c r="AG50" s="3"/>
      <c r="AH50" s="3"/>
      <c r="AI50" s="3"/>
      <c r="AJ50" s="14"/>
      <c r="AK50" s="18"/>
      <c r="AL50" s="24"/>
    </row>
    <row r="51" spans="2:38" x14ac:dyDescent="0.25">
      <c r="B51" s="5"/>
      <c r="C51" s="3"/>
      <c r="D51" s="34"/>
      <c r="E51" s="3"/>
      <c r="F51" s="3"/>
      <c r="G51" s="3"/>
      <c r="H51" s="14"/>
      <c r="I51" s="24"/>
      <c r="J51" s="5"/>
      <c r="K51" s="3"/>
      <c r="L51" s="3"/>
      <c r="M51" s="3"/>
      <c r="N51" s="3"/>
      <c r="O51" s="3"/>
      <c r="P51" s="3"/>
      <c r="Q51" s="3"/>
      <c r="R51" s="14"/>
      <c r="S51" s="18"/>
      <c r="T51" s="24"/>
      <c r="U51" s="5"/>
      <c r="V51" s="3"/>
      <c r="W51" s="3"/>
      <c r="X51" s="3"/>
      <c r="Y51" s="3"/>
      <c r="Z51" s="3"/>
      <c r="AA51" s="14"/>
      <c r="AB51" s="18"/>
      <c r="AC51" s="24"/>
      <c r="AD51" s="5"/>
      <c r="AE51" s="3"/>
      <c r="AF51" s="3"/>
      <c r="AG51" s="3"/>
      <c r="AH51" s="3"/>
      <c r="AI51" s="3"/>
      <c r="AJ51" s="14"/>
      <c r="AK51" s="18"/>
      <c r="AL51" s="24"/>
    </row>
    <row r="52" spans="2:38" x14ac:dyDescent="0.25">
      <c r="B52" s="5"/>
      <c r="C52" s="3"/>
      <c r="D52" s="34"/>
      <c r="E52" s="3"/>
      <c r="F52" s="3"/>
      <c r="G52" s="3"/>
      <c r="H52" s="14"/>
      <c r="I52" s="24"/>
      <c r="J52" s="5"/>
      <c r="K52" s="3"/>
      <c r="L52" s="3"/>
      <c r="M52" s="3"/>
      <c r="N52" s="3"/>
      <c r="O52" s="3"/>
      <c r="P52" s="3"/>
      <c r="Q52" s="3"/>
      <c r="R52" s="14"/>
      <c r="S52" s="18"/>
      <c r="T52" s="24"/>
      <c r="U52" s="5"/>
      <c r="V52" s="3"/>
      <c r="W52" s="3"/>
      <c r="X52" s="3"/>
      <c r="Y52" s="3"/>
      <c r="Z52" s="3"/>
      <c r="AA52" s="14"/>
      <c r="AB52" s="18"/>
      <c r="AC52" s="24"/>
      <c r="AD52" s="5"/>
      <c r="AE52" s="3"/>
      <c r="AF52" s="3"/>
      <c r="AG52" s="3"/>
      <c r="AH52" s="3"/>
      <c r="AI52" s="3"/>
      <c r="AJ52" s="14"/>
      <c r="AK52" s="18"/>
      <c r="AL52" s="24"/>
    </row>
    <row r="53" spans="2:38" x14ac:dyDescent="0.25">
      <c r="B53" s="5"/>
      <c r="C53" s="3"/>
      <c r="D53" s="34"/>
      <c r="E53" s="3"/>
      <c r="F53" s="3"/>
      <c r="G53" s="3"/>
      <c r="H53" s="14"/>
      <c r="I53" s="24"/>
      <c r="J53" s="5"/>
      <c r="K53" s="3"/>
      <c r="L53" s="3"/>
      <c r="M53" s="3"/>
      <c r="N53" s="3"/>
      <c r="O53" s="3"/>
      <c r="P53" s="3"/>
      <c r="Q53" s="3"/>
      <c r="R53" s="14"/>
      <c r="S53" s="18"/>
      <c r="T53" s="24"/>
      <c r="U53" s="5"/>
      <c r="V53" s="3"/>
      <c r="W53" s="3"/>
      <c r="X53" s="3"/>
      <c r="Y53" s="3"/>
      <c r="Z53" s="3"/>
      <c r="AA53" s="14"/>
      <c r="AB53" s="18"/>
      <c r="AC53" s="24"/>
      <c r="AD53" s="5"/>
      <c r="AE53" s="3"/>
      <c r="AF53" s="3"/>
      <c r="AG53" s="3"/>
      <c r="AH53" s="3"/>
      <c r="AI53" s="3"/>
      <c r="AJ53" s="14"/>
      <c r="AK53" s="18"/>
      <c r="AL53" s="24"/>
    </row>
    <row r="54" spans="2:38" x14ac:dyDescent="0.25">
      <c r="B54" s="5"/>
      <c r="C54" s="3"/>
      <c r="D54" s="34"/>
      <c r="E54" s="3"/>
      <c r="F54" s="3"/>
      <c r="G54" s="3"/>
      <c r="H54" s="14"/>
      <c r="I54" s="24"/>
      <c r="J54" s="5"/>
      <c r="K54" s="3"/>
      <c r="L54" s="3"/>
      <c r="M54" s="3"/>
      <c r="N54" s="3"/>
      <c r="O54" s="3"/>
      <c r="P54" s="3"/>
      <c r="Q54" s="3"/>
      <c r="R54" s="14"/>
      <c r="S54" s="18"/>
      <c r="T54" s="24"/>
      <c r="U54" s="5"/>
      <c r="V54" s="3"/>
      <c r="W54" s="3"/>
      <c r="X54" s="3"/>
      <c r="Y54" s="3"/>
      <c r="Z54" s="3"/>
      <c r="AA54" s="14"/>
      <c r="AB54" s="18"/>
      <c r="AC54" s="24"/>
      <c r="AD54" s="5"/>
      <c r="AE54" s="3"/>
      <c r="AF54" s="3"/>
      <c r="AG54" s="3"/>
      <c r="AH54" s="3"/>
      <c r="AI54" s="3"/>
      <c r="AJ54" s="14"/>
      <c r="AK54" s="18"/>
      <c r="AL54" s="24"/>
    </row>
    <row r="55" spans="2:38" x14ac:dyDescent="0.25">
      <c r="B55" s="5"/>
      <c r="C55" s="3"/>
      <c r="D55" s="34"/>
      <c r="E55" s="3"/>
      <c r="F55" s="3"/>
      <c r="G55" s="3"/>
      <c r="H55" s="14"/>
      <c r="I55" s="24"/>
      <c r="J55" s="5"/>
      <c r="K55" s="3"/>
      <c r="L55" s="3"/>
      <c r="M55" s="3"/>
      <c r="N55" s="3"/>
      <c r="O55" s="3"/>
      <c r="P55" s="3"/>
      <c r="Q55" s="3"/>
      <c r="R55" s="14"/>
      <c r="S55" s="18"/>
      <c r="T55" s="24"/>
      <c r="U55" s="5"/>
      <c r="V55" s="3"/>
      <c r="W55" s="3"/>
      <c r="X55" s="3"/>
      <c r="Y55" s="3"/>
      <c r="Z55" s="3"/>
      <c r="AA55" s="14"/>
      <c r="AB55" s="18"/>
      <c r="AC55" s="24"/>
      <c r="AD55" s="5"/>
      <c r="AE55" s="3"/>
      <c r="AF55" s="3"/>
      <c r="AG55" s="3"/>
      <c r="AH55" s="3"/>
      <c r="AI55" s="3"/>
      <c r="AJ55" s="14"/>
      <c r="AK55" s="18"/>
      <c r="AL55" s="24"/>
    </row>
    <row r="56" spans="2:38" x14ac:dyDescent="0.25">
      <c r="B56" s="5"/>
      <c r="C56" s="3"/>
      <c r="D56" s="34"/>
      <c r="E56" s="3"/>
      <c r="F56" s="3"/>
      <c r="G56" s="3"/>
      <c r="H56" s="14"/>
      <c r="I56" s="24"/>
      <c r="J56" s="5"/>
      <c r="K56" s="3"/>
      <c r="L56" s="3"/>
      <c r="M56" s="3"/>
      <c r="N56" s="3"/>
      <c r="O56" s="3"/>
      <c r="P56" s="3"/>
      <c r="Q56" s="3"/>
      <c r="R56" s="14"/>
      <c r="S56" s="18"/>
      <c r="T56" s="24"/>
      <c r="U56" s="5"/>
      <c r="V56" s="3"/>
      <c r="W56" s="3"/>
      <c r="X56" s="3"/>
      <c r="Y56" s="3"/>
      <c r="Z56" s="3"/>
      <c r="AA56" s="14"/>
      <c r="AB56" s="18"/>
      <c r="AC56" s="24"/>
      <c r="AD56" s="5"/>
      <c r="AE56" s="3"/>
      <c r="AF56" s="3"/>
      <c r="AG56" s="3"/>
      <c r="AH56" s="3"/>
      <c r="AI56" s="3"/>
      <c r="AJ56" s="14"/>
      <c r="AK56" s="18"/>
      <c r="AL56" s="24"/>
    </row>
    <row r="57" spans="2:38" x14ac:dyDescent="0.25">
      <c r="B57" s="5"/>
      <c r="C57" s="3"/>
      <c r="D57" s="34"/>
      <c r="E57" s="3"/>
      <c r="F57" s="3"/>
      <c r="G57" s="3"/>
      <c r="H57" s="14"/>
      <c r="I57" s="24"/>
      <c r="J57" s="5"/>
      <c r="K57" s="3"/>
      <c r="L57" s="3"/>
      <c r="M57" s="3"/>
      <c r="N57" s="3"/>
      <c r="O57" s="3"/>
      <c r="P57" s="3"/>
      <c r="Q57" s="3"/>
      <c r="R57" s="14"/>
      <c r="S57" s="18"/>
      <c r="T57" s="24"/>
      <c r="U57" s="5"/>
      <c r="V57" s="3"/>
      <c r="W57" s="3"/>
      <c r="X57" s="3"/>
      <c r="Y57" s="3"/>
      <c r="Z57" s="3"/>
      <c r="AA57" s="14"/>
      <c r="AB57" s="18"/>
      <c r="AC57" s="24"/>
      <c r="AD57" s="5"/>
      <c r="AE57" s="3"/>
      <c r="AF57" s="3"/>
      <c r="AG57" s="3"/>
      <c r="AH57" s="3"/>
      <c r="AI57" s="3"/>
      <c r="AJ57" s="14"/>
      <c r="AK57" s="18"/>
      <c r="AL57" s="24"/>
    </row>
    <row r="58" spans="2:38" x14ac:dyDescent="0.25">
      <c r="B58" s="5"/>
      <c r="C58" s="3"/>
      <c r="D58" s="34"/>
      <c r="E58" s="3"/>
      <c r="F58" s="3"/>
      <c r="G58" s="3"/>
      <c r="H58" s="14"/>
      <c r="I58" s="24"/>
      <c r="J58" s="5"/>
      <c r="K58" s="3"/>
      <c r="L58" s="3"/>
      <c r="M58" s="3"/>
      <c r="N58" s="3"/>
      <c r="O58" s="3"/>
      <c r="P58" s="3"/>
      <c r="Q58" s="3"/>
      <c r="R58" s="14"/>
      <c r="S58" s="18"/>
      <c r="T58" s="24"/>
      <c r="U58" s="5"/>
      <c r="V58" s="3"/>
      <c r="W58" s="3"/>
      <c r="X58" s="3"/>
      <c r="Y58" s="3"/>
      <c r="Z58" s="3"/>
      <c r="AA58" s="14"/>
      <c r="AB58" s="18"/>
      <c r="AC58" s="24"/>
      <c r="AD58" s="5"/>
      <c r="AE58" s="3"/>
      <c r="AF58" s="3"/>
      <c r="AG58" s="3"/>
      <c r="AH58" s="3"/>
      <c r="AI58" s="3"/>
      <c r="AJ58" s="14"/>
      <c r="AK58" s="18"/>
      <c r="AL58" s="24"/>
    </row>
    <row r="59" spans="2:38" x14ac:dyDescent="0.25">
      <c r="B59" s="5"/>
      <c r="C59" s="3"/>
      <c r="D59" s="34"/>
      <c r="E59" s="3"/>
      <c r="F59" s="3"/>
      <c r="G59" s="3"/>
      <c r="H59" s="14"/>
      <c r="I59" s="24"/>
      <c r="J59" s="5"/>
      <c r="K59" s="3"/>
      <c r="L59" s="3"/>
      <c r="M59" s="3"/>
      <c r="N59" s="3"/>
      <c r="O59" s="3"/>
      <c r="P59" s="3"/>
      <c r="Q59" s="3"/>
      <c r="R59" s="14"/>
      <c r="S59" s="18"/>
      <c r="T59" s="24"/>
      <c r="U59" s="5"/>
      <c r="V59" s="3"/>
      <c r="W59" s="3"/>
      <c r="X59" s="3"/>
      <c r="Y59" s="3"/>
      <c r="Z59" s="3"/>
      <c r="AA59" s="14"/>
      <c r="AB59" s="18"/>
      <c r="AC59" s="24"/>
      <c r="AD59" s="5"/>
      <c r="AE59" s="3"/>
      <c r="AF59" s="3"/>
      <c r="AG59" s="3"/>
      <c r="AH59" s="3"/>
      <c r="AI59" s="3"/>
      <c r="AJ59" s="14"/>
      <c r="AK59" s="18"/>
      <c r="AL59" s="24"/>
    </row>
    <row r="60" spans="2:38" x14ac:dyDescent="0.25">
      <c r="B60" s="5"/>
      <c r="C60" s="3"/>
      <c r="D60" s="34"/>
      <c r="E60" s="3"/>
      <c r="F60" s="3"/>
      <c r="G60" s="3"/>
      <c r="H60" s="14"/>
      <c r="I60" s="24"/>
      <c r="J60" s="5"/>
      <c r="K60" s="3"/>
      <c r="L60" s="3"/>
      <c r="M60" s="3"/>
      <c r="N60" s="3"/>
      <c r="O60" s="3"/>
      <c r="P60" s="3"/>
      <c r="Q60" s="3"/>
      <c r="R60" s="14"/>
      <c r="S60" s="18"/>
      <c r="T60" s="24"/>
      <c r="U60" s="5"/>
      <c r="V60" s="3"/>
      <c r="W60" s="3"/>
      <c r="X60" s="3"/>
      <c r="Y60" s="3"/>
      <c r="Z60" s="3"/>
      <c r="AA60" s="14"/>
      <c r="AB60" s="18"/>
      <c r="AC60" s="24"/>
      <c r="AD60" s="5"/>
      <c r="AE60" s="3"/>
      <c r="AF60" s="3"/>
      <c r="AG60" s="3"/>
      <c r="AH60" s="3"/>
      <c r="AI60" s="3"/>
      <c r="AJ60" s="14"/>
      <c r="AK60" s="18"/>
      <c r="AL60" s="24"/>
    </row>
    <row r="61" spans="2:38" x14ac:dyDescent="0.25">
      <c r="B61" s="5"/>
      <c r="C61" s="3"/>
      <c r="D61" s="34"/>
      <c r="E61" s="3"/>
      <c r="F61" s="3"/>
      <c r="G61" s="3"/>
      <c r="H61" s="14"/>
      <c r="I61" s="24"/>
      <c r="J61" s="5"/>
      <c r="K61" s="3"/>
      <c r="L61" s="3"/>
      <c r="M61" s="3"/>
      <c r="N61" s="3"/>
      <c r="O61" s="3"/>
      <c r="P61" s="3"/>
      <c r="Q61" s="3"/>
      <c r="R61" s="14"/>
      <c r="S61" s="18"/>
      <c r="T61" s="24"/>
      <c r="U61" s="5"/>
      <c r="V61" s="3"/>
      <c r="W61" s="3"/>
      <c r="X61" s="3"/>
      <c r="Y61" s="3"/>
      <c r="Z61" s="3"/>
      <c r="AA61" s="14"/>
      <c r="AB61" s="18"/>
      <c r="AC61" s="24"/>
      <c r="AD61" s="5"/>
      <c r="AE61" s="3"/>
      <c r="AF61" s="3"/>
      <c r="AG61" s="3"/>
      <c r="AH61" s="3"/>
      <c r="AI61" s="3"/>
      <c r="AJ61" s="14"/>
      <c r="AK61" s="18"/>
      <c r="AL61" s="24"/>
    </row>
    <row r="62" spans="2:38" x14ac:dyDescent="0.25">
      <c r="B62" s="5"/>
      <c r="C62" s="3"/>
      <c r="D62" s="34"/>
      <c r="E62" s="3"/>
      <c r="F62" s="3"/>
      <c r="G62" s="3"/>
      <c r="H62" s="14"/>
      <c r="I62" s="24"/>
      <c r="J62" s="5"/>
      <c r="K62" s="3"/>
      <c r="L62" s="3"/>
      <c r="M62" s="3"/>
      <c r="N62" s="3"/>
      <c r="O62" s="3"/>
      <c r="P62" s="3"/>
      <c r="Q62" s="3"/>
      <c r="R62" s="14"/>
      <c r="S62" s="18"/>
      <c r="T62" s="24"/>
      <c r="U62" s="5"/>
      <c r="V62" s="3"/>
      <c r="W62" s="3"/>
      <c r="X62" s="3"/>
      <c r="Y62" s="3"/>
      <c r="Z62" s="3"/>
      <c r="AA62" s="14"/>
      <c r="AB62" s="18"/>
      <c r="AC62" s="24"/>
      <c r="AD62" s="5"/>
      <c r="AE62" s="3"/>
      <c r="AF62" s="3"/>
      <c r="AG62" s="3"/>
      <c r="AH62" s="3"/>
      <c r="AI62" s="3"/>
      <c r="AJ62" s="14"/>
      <c r="AK62" s="18"/>
      <c r="AL62" s="24"/>
    </row>
    <row r="63" spans="2:38" x14ac:dyDescent="0.25">
      <c r="B63" s="5"/>
      <c r="C63" s="3"/>
      <c r="D63" s="34"/>
      <c r="E63" s="3"/>
      <c r="F63" s="3"/>
      <c r="G63" s="3"/>
      <c r="H63" s="14"/>
      <c r="I63" s="24"/>
      <c r="J63" s="5"/>
      <c r="K63" s="3"/>
      <c r="L63" s="3"/>
      <c r="M63" s="3"/>
      <c r="N63" s="3"/>
      <c r="O63" s="3"/>
      <c r="P63" s="3"/>
      <c r="Q63" s="3"/>
      <c r="R63" s="14"/>
      <c r="S63" s="18"/>
      <c r="T63" s="24"/>
      <c r="U63" s="5"/>
      <c r="V63" s="3"/>
      <c r="W63" s="3"/>
      <c r="X63" s="3"/>
      <c r="Y63" s="3"/>
      <c r="Z63" s="3"/>
      <c r="AA63" s="14"/>
      <c r="AB63" s="18"/>
      <c r="AC63" s="24"/>
      <c r="AD63" s="5"/>
      <c r="AE63" s="3"/>
      <c r="AF63" s="3"/>
      <c r="AG63" s="3"/>
      <c r="AH63" s="3"/>
      <c r="AI63" s="3"/>
      <c r="AJ63" s="14"/>
      <c r="AK63" s="18"/>
      <c r="AL63" s="24"/>
    </row>
    <row r="64" spans="2:38" x14ac:dyDescent="0.25">
      <c r="B64" s="5"/>
      <c r="C64" s="3"/>
      <c r="D64" s="34"/>
      <c r="E64" s="3"/>
      <c r="F64" s="3"/>
      <c r="G64" s="3"/>
      <c r="H64" s="14"/>
      <c r="I64" s="24"/>
      <c r="J64" s="5"/>
      <c r="K64" s="3"/>
      <c r="L64" s="3"/>
      <c r="M64" s="3"/>
      <c r="N64" s="3"/>
      <c r="O64" s="3"/>
      <c r="P64" s="3"/>
      <c r="Q64" s="3"/>
      <c r="R64" s="14"/>
      <c r="S64" s="18"/>
      <c r="T64" s="24"/>
      <c r="U64" s="5"/>
      <c r="V64" s="3"/>
      <c r="W64" s="3"/>
      <c r="X64" s="3"/>
      <c r="Y64" s="3"/>
      <c r="Z64" s="3"/>
      <c r="AA64" s="14"/>
      <c r="AB64" s="18"/>
      <c r="AC64" s="24"/>
      <c r="AD64" s="5"/>
      <c r="AE64" s="3"/>
      <c r="AF64" s="3"/>
      <c r="AG64" s="3"/>
      <c r="AH64" s="3"/>
      <c r="AI64" s="3"/>
      <c r="AJ64" s="14"/>
      <c r="AK64" s="18"/>
      <c r="AL64" s="24"/>
    </row>
    <row r="65" spans="2:47" x14ac:dyDescent="0.25">
      <c r="B65" s="5"/>
      <c r="C65" s="3"/>
      <c r="D65" s="34"/>
      <c r="E65" s="3"/>
      <c r="F65" s="3"/>
      <c r="G65" s="3"/>
      <c r="H65" s="14"/>
      <c r="I65" s="24"/>
      <c r="J65" s="5"/>
      <c r="K65" s="3"/>
      <c r="L65" s="3"/>
      <c r="M65" s="3"/>
      <c r="N65" s="3"/>
      <c r="O65" s="3"/>
      <c r="P65" s="3"/>
      <c r="Q65" s="3"/>
      <c r="R65" s="14"/>
      <c r="S65" s="18"/>
      <c r="T65" s="24"/>
      <c r="U65" s="5"/>
      <c r="V65" s="3"/>
      <c r="W65" s="3"/>
      <c r="X65" s="3"/>
      <c r="Y65" s="3"/>
      <c r="Z65" s="3"/>
      <c r="AA65" s="14"/>
      <c r="AB65" s="18"/>
      <c r="AC65" s="24"/>
      <c r="AD65" s="5"/>
      <c r="AE65" s="3"/>
      <c r="AF65" s="3"/>
      <c r="AG65" s="3"/>
      <c r="AH65" s="3"/>
      <c r="AI65" s="3"/>
      <c r="AJ65" s="14"/>
      <c r="AK65" s="18"/>
      <c r="AL65" s="24"/>
    </row>
    <row r="66" spans="2:47" x14ac:dyDescent="0.25">
      <c r="B66" s="5"/>
      <c r="C66" s="3"/>
      <c r="D66" s="34"/>
      <c r="E66" s="3"/>
      <c r="F66" s="3"/>
      <c r="G66" s="3"/>
      <c r="H66" s="14"/>
      <c r="I66" s="24"/>
      <c r="J66" s="5"/>
      <c r="K66" s="3"/>
      <c r="L66" s="3"/>
      <c r="M66" s="3"/>
      <c r="N66" s="3"/>
      <c r="O66" s="3"/>
      <c r="P66" s="3"/>
      <c r="Q66" s="3"/>
      <c r="R66" s="14"/>
      <c r="S66" s="18"/>
      <c r="T66" s="24"/>
      <c r="U66" s="5"/>
      <c r="V66" s="3"/>
      <c r="W66" s="3"/>
      <c r="X66" s="3"/>
      <c r="Y66" s="3"/>
      <c r="Z66" s="3"/>
      <c r="AA66" s="14"/>
      <c r="AB66" s="18"/>
      <c r="AC66" s="24"/>
      <c r="AD66" s="5"/>
      <c r="AE66" s="3"/>
      <c r="AF66" s="3"/>
      <c r="AG66" s="3"/>
      <c r="AH66" s="3"/>
      <c r="AI66" s="3"/>
      <c r="AJ66" s="14"/>
      <c r="AK66" s="18"/>
      <c r="AL66" s="24"/>
    </row>
    <row r="67" spans="2:47" x14ac:dyDescent="0.25">
      <c r="B67" s="5"/>
      <c r="C67" s="3"/>
      <c r="D67" s="34"/>
      <c r="E67" s="3"/>
      <c r="F67" s="3"/>
      <c r="G67" s="3"/>
      <c r="H67" s="14"/>
      <c r="I67" s="24"/>
      <c r="J67" s="5"/>
      <c r="K67" s="3"/>
      <c r="L67" s="3"/>
      <c r="M67" s="3"/>
      <c r="N67" s="3"/>
      <c r="O67" s="3"/>
      <c r="P67" s="3"/>
      <c r="Q67" s="3"/>
      <c r="R67" s="14"/>
      <c r="S67" s="18"/>
      <c r="T67" s="24"/>
      <c r="U67" s="5"/>
      <c r="V67" s="3"/>
      <c r="W67" s="3"/>
      <c r="X67" s="3"/>
      <c r="Y67" s="3"/>
      <c r="Z67" s="3"/>
      <c r="AA67" s="14"/>
      <c r="AB67" s="18"/>
      <c r="AC67" s="24"/>
      <c r="AD67" s="5"/>
      <c r="AE67" s="3"/>
      <c r="AF67" s="3"/>
      <c r="AG67" s="3"/>
      <c r="AH67" s="3"/>
      <c r="AI67" s="3"/>
      <c r="AJ67" s="14"/>
      <c r="AK67" s="18"/>
      <c r="AL67" s="24"/>
    </row>
    <row r="68" spans="2:47" x14ac:dyDescent="0.25">
      <c r="B68" s="5"/>
      <c r="C68" s="3"/>
      <c r="D68" s="34"/>
      <c r="E68" s="3"/>
      <c r="F68" s="3"/>
      <c r="G68" s="3"/>
      <c r="H68" s="14"/>
      <c r="I68" s="24"/>
      <c r="J68" s="5"/>
      <c r="K68" s="3"/>
      <c r="L68" s="3"/>
      <c r="M68" s="3"/>
      <c r="N68" s="3"/>
      <c r="O68" s="3"/>
      <c r="P68" s="3"/>
      <c r="Q68" s="3"/>
      <c r="R68" s="14"/>
      <c r="S68" s="18"/>
      <c r="T68" s="24"/>
      <c r="U68" s="5"/>
      <c r="V68" s="3"/>
      <c r="W68" s="3"/>
      <c r="X68" s="3"/>
      <c r="Y68" s="3"/>
      <c r="Z68" s="3"/>
      <c r="AA68" s="14"/>
      <c r="AB68" s="18"/>
      <c r="AC68" s="24"/>
      <c r="AD68" s="5"/>
      <c r="AE68" s="3"/>
      <c r="AF68" s="3"/>
      <c r="AG68" s="3"/>
      <c r="AH68" s="3"/>
      <c r="AI68" s="3"/>
      <c r="AJ68" s="14"/>
      <c r="AK68" s="18"/>
      <c r="AL68" s="24"/>
    </row>
    <row r="69" spans="2:47" x14ac:dyDescent="0.25">
      <c r="B69" s="5"/>
      <c r="C69" s="3"/>
      <c r="D69" s="34"/>
      <c r="E69" s="3"/>
      <c r="F69" s="3"/>
      <c r="G69" s="3"/>
      <c r="H69" s="14"/>
      <c r="I69" s="24"/>
      <c r="J69" s="5"/>
      <c r="K69" s="3"/>
      <c r="L69" s="3"/>
      <c r="M69" s="3"/>
      <c r="N69" s="3"/>
      <c r="O69" s="3"/>
      <c r="P69" s="3"/>
      <c r="Q69" s="3"/>
      <c r="R69" s="14"/>
      <c r="S69" s="18"/>
      <c r="T69" s="24"/>
      <c r="U69" s="5"/>
      <c r="V69" s="3"/>
      <c r="W69" s="3"/>
      <c r="X69" s="3"/>
      <c r="Y69" s="3"/>
      <c r="Z69" s="3"/>
      <c r="AA69" s="3"/>
      <c r="AB69" s="27"/>
      <c r="AC69" s="24"/>
      <c r="AD69" s="5"/>
      <c r="AE69" s="3"/>
      <c r="AF69" s="3"/>
      <c r="AG69" s="3"/>
      <c r="AH69" s="3"/>
      <c r="AI69" s="3"/>
      <c r="AJ69" s="14"/>
      <c r="AK69" s="18"/>
      <c r="AL69" s="24"/>
    </row>
    <row r="70" spans="2:47" ht="15" thickBot="1" x14ac:dyDescent="0.3">
      <c r="B70" s="5"/>
      <c r="C70" s="3"/>
      <c r="D70" s="34"/>
      <c r="E70" s="3"/>
      <c r="F70" s="3"/>
      <c r="G70" s="3"/>
      <c r="H70" s="14"/>
      <c r="I70" s="24"/>
      <c r="J70" s="5"/>
      <c r="K70" s="3"/>
      <c r="L70" s="3"/>
      <c r="M70" s="3"/>
      <c r="N70" s="3"/>
      <c r="O70" s="3"/>
      <c r="P70" s="3"/>
      <c r="Q70" s="3"/>
      <c r="R70" s="14"/>
      <c r="S70" s="18"/>
      <c r="T70" s="24"/>
      <c r="U70" s="5"/>
      <c r="V70" s="3"/>
      <c r="W70" s="3"/>
      <c r="X70" s="3"/>
      <c r="Y70" s="3"/>
      <c r="Z70" s="3"/>
      <c r="AA70" s="3"/>
      <c r="AB70" s="27"/>
      <c r="AC70" s="24"/>
      <c r="AD70" s="5"/>
      <c r="AE70" s="3"/>
      <c r="AF70" s="3"/>
      <c r="AG70" s="3"/>
      <c r="AH70" s="3"/>
      <c r="AI70" s="3"/>
      <c r="AJ70" s="14"/>
      <c r="AK70" s="18"/>
      <c r="AL70" s="25"/>
      <c r="AM70" s="8"/>
      <c r="AN70" s="8"/>
      <c r="AO70" s="8"/>
      <c r="AP70" s="8"/>
      <c r="AQ70" s="8"/>
      <c r="AR70" s="8"/>
      <c r="AS70" s="8"/>
      <c r="AT70" s="8"/>
      <c r="AU70" s="8"/>
    </row>
    <row r="71" spans="2:47" ht="15" thickTop="1" x14ac:dyDescent="0.25">
      <c r="B71" s="35"/>
      <c r="C71" s="2"/>
      <c r="D71" s="36"/>
      <c r="E71" s="2"/>
      <c r="F71" s="2"/>
      <c r="G71" s="2"/>
      <c r="H71" s="37"/>
      <c r="I71" s="38"/>
      <c r="J71" s="35"/>
      <c r="K71" s="2"/>
      <c r="L71" s="2"/>
      <c r="M71" s="2"/>
      <c r="N71" s="2"/>
      <c r="O71" s="2"/>
      <c r="P71" s="2"/>
      <c r="Q71" s="2"/>
      <c r="R71" s="2"/>
      <c r="S71" s="39"/>
      <c r="T71" s="38"/>
      <c r="U71" s="2"/>
      <c r="V71" s="2"/>
      <c r="W71" s="2"/>
      <c r="X71" s="2"/>
      <c r="Y71" s="2"/>
      <c r="Z71" s="2"/>
      <c r="AA71" s="2"/>
      <c r="AB71" s="39"/>
      <c r="AC71" s="38"/>
      <c r="AD71" s="35"/>
      <c r="AE71" s="2"/>
      <c r="AF71" s="2"/>
      <c r="AG71" s="2"/>
      <c r="AH71" s="2"/>
      <c r="AI71" s="2"/>
      <c r="AJ71" s="37"/>
      <c r="AK71" s="40"/>
      <c r="AL71"/>
      <c r="AM71"/>
      <c r="AN71"/>
      <c r="AO71"/>
      <c r="AP71"/>
      <c r="AQ71"/>
      <c r="AR71"/>
      <c r="AS71"/>
      <c r="AT71"/>
      <c r="AU71"/>
    </row>
    <row r="72" spans="2:47" x14ac:dyDescent="0.25">
      <c r="AL72"/>
      <c r="AM72"/>
      <c r="AN72"/>
      <c r="AO72"/>
      <c r="AP72"/>
      <c r="AQ72"/>
      <c r="AR72"/>
      <c r="AS72"/>
      <c r="AT72"/>
      <c r="AU72"/>
    </row>
    <row r="73" spans="2:47" x14ac:dyDescent="0.25">
      <c r="AL73"/>
      <c r="AM73"/>
      <c r="AN73"/>
      <c r="AO73"/>
      <c r="AP73"/>
      <c r="AQ73"/>
      <c r="AR73"/>
      <c r="AS73"/>
      <c r="AT73"/>
      <c r="AU73"/>
    </row>
    <row r="74" spans="2:47" x14ac:dyDescent="0.25">
      <c r="AL74"/>
      <c r="AM74"/>
      <c r="AN74"/>
      <c r="AO74"/>
      <c r="AP74"/>
      <c r="AQ74"/>
      <c r="AR74"/>
      <c r="AS74"/>
      <c r="AT74"/>
      <c r="AU74"/>
    </row>
  </sheetData>
  <phoneticPr fontId="2"/>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sheetPr>
  <dimension ref="B1:AX81"/>
  <sheetViews>
    <sheetView zoomScale="70" zoomScaleNormal="70" workbookViewId="0">
      <pane xSplit="3" ySplit="4" topLeftCell="D5" activePane="bottomRight" state="frozen"/>
      <selection activeCell="N63" sqref="N63"/>
      <selection pane="topRight" activeCell="N63" sqref="N63"/>
      <selection pane="bottomLeft" activeCell="N63" sqref="N63"/>
      <selection pane="bottomRight" activeCell="D35" sqref="D35"/>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6.125" style="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7.875" style="1" customWidth="1"/>
    <col min="22" max="24" width="5.125" style="1" bestFit="1" customWidth="1"/>
    <col min="25" max="25" width="6.25" style="1" bestFit="1" customWidth="1"/>
    <col min="26"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 min="40" max="41" width="6.25" style="1" bestFit="1" customWidth="1"/>
    <col min="42" max="42" width="6.25" style="1" customWidth="1"/>
    <col min="43" max="43" width="6.25" style="1" bestFit="1" customWidth="1"/>
    <col min="48" max="48" width="6.875" bestFit="1" customWidth="1"/>
    <col min="49" max="49" width="21" bestFit="1" customWidth="1"/>
    <col min="50" max="50" width="18.75" bestFit="1" customWidth="1"/>
  </cols>
  <sheetData>
    <row r="1" spans="2:48" x14ac:dyDescent="0.25">
      <c r="M1" s="3">
        <f>入力!$AD$11*12*(1+入力!$AD$16)</f>
        <v>35.640000000000008</v>
      </c>
      <c r="N1" s="3">
        <f>入力!$AE$11*12*(1+入力!$AD$16)</f>
        <v>13.200000000000001</v>
      </c>
      <c r="O1" s="3">
        <f>入力!$AF$11*12*(1+入力!$AD$16)</f>
        <v>6.6000000000000005</v>
      </c>
      <c r="P1" s="3">
        <f>入力!$AG$11*12*(1+入力!$AD$16)</f>
        <v>5.2800000000000011</v>
      </c>
      <c r="Q1" s="3">
        <f>入力!$AH$11*12*(1+入力!$AD$16)</f>
        <v>3.3000000000000003</v>
      </c>
      <c r="V1" s="1">
        <f>入力!$AI$11*12</f>
        <v>6</v>
      </c>
      <c r="W1" s="1">
        <f>入力!$AJ$11*12</f>
        <v>2.4000000000000004</v>
      </c>
      <c r="AE1" s="1">
        <f>入力!$D$38*12</f>
        <v>36</v>
      </c>
    </row>
    <row r="2" spans="2:48"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c r="AN2" s="20"/>
      <c r="AO2" s="20"/>
      <c r="AP2" s="20"/>
      <c r="AQ2" s="21"/>
    </row>
    <row r="3" spans="2:48"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c r="AN3" s="179"/>
      <c r="AO3" s="179"/>
      <c r="AP3" s="153"/>
      <c r="AQ3" s="22"/>
    </row>
    <row r="4" spans="2:48" s="4" customFormat="1" ht="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c r="AB4" s="68"/>
      <c r="AC4" s="69"/>
      <c r="AD4" s="65"/>
      <c r="AE4" s="11" t="s">
        <v>162</v>
      </c>
      <c r="AF4" s="12" t="s">
        <v>29</v>
      </c>
      <c r="AG4" s="12" t="s">
        <v>30</v>
      </c>
      <c r="AH4" s="12" t="s">
        <v>31</v>
      </c>
      <c r="AI4" s="12" t="s">
        <v>214</v>
      </c>
      <c r="AJ4" s="13" t="s">
        <v>274</v>
      </c>
      <c r="AK4" s="17" t="s">
        <v>35</v>
      </c>
      <c r="AL4" s="23"/>
      <c r="AM4" s="23"/>
      <c r="AN4" s="12"/>
      <c r="AO4" s="12"/>
      <c r="AP4" s="13"/>
      <c r="AQ4" s="23"/>
      <c r="AS4" s="355" t="s">
        <v>559</v>
      </c>
      <c r="AT4" s="355" t="s">
        <v>561</v>
      </c>
      <c r="AU4" s="355"/>
      <c r="AV4" s="4" t="s">
        <v>513</v>
      </c>
    </row>
    <row r="5" spans="2:48"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5"/>
      <c r="W5" s="165"/>
      <c r="X5" s="165"/>
      <c r="Y5" s="165"/>
      <c r="Z5" s="165"/>
      <c r="AA5" s="165"/>
      <c r="AB5" s="166"/>
      <c r="AC5" s="167"/>
      <c r="AD5" s="168"/>
      <c r="AE5" s="164"/>
      <c r="AF5" s="165"/>
      <c r="AG5" s="165"/>
      <c r="AH5" s="165"/>
      <c r="AI5" s="165"/>
      <c r="AJ5" s="166"/>
      <c r="AK5" s="167"/>
      <c r="AL5" s="168"/>
      <c r="AM5" s="173">
        <f>SUM(AN5:AO5)</f>
        <v>0</v>
      </c>
      <c r="AN5" s="180">
        <f>入力!$D$11</f>
        <v>0</v>
      </c>
      <c r="AO5" s="180">
        <f>入力!$E$11</f>
        <v>0</v>
      </c>
      <c r="AP5" s="166"/>
      <c r="AQ5" s="168"/>
    </row>
    <row r="6" spans="2:48" x14ac:dyDescent="0.25">
      <c r="B6" s="5">
        <v>19</v>
      </c>
      <c r="C6" s="3">
        <f>入力!$D$17</f>
        <v>24</v>
      </c>
      <c r="D6" s="34">
        <f>IF(C6&gt;入力!$D$22,0,VLOOKUP(C6,賃金カーブ!R:T,3,0))</f>
        <v>369.7506557197238</v>
      </c>
      <c r="E6" s="3">
        <f>VLOOKUP(D6,年収と手取り!X:Y,2,1)</f>
        <v>281.50351999999998</v>
      </c>
      <c r="F6" s="3">
        <f>入力!$E$28</f>
        <v>0</v>
      </c>
      <c r="G6" s="3">
        <f>IF(C6=入力!D$22,入力!E$31,0)</f>
        <v>0</v>
      </c>
      <c r="H6" s="3">
        <f t="shared" ref="H6:H36" si="0">IF(C6&gt;65,6.5+$E$71/COUNTIF($E$6:$E$70,"&gt;0")*1.8%,0)*12</f>
        <v>0</v>
      </c>
      <c r="I6" s="14">
        <f>IF(H6&gt;0,-年金の税金!$G$24/10000,0)</f>
        <v>0</v>
      </c>
      <c r="J6" s="24">
        <f t="shared" ref="J6:J39" si="1">SUM(E6:I6)</f>
        <v>281.50351999999998</v>
      </c>
      <c r="K6" s="5"/>
      <c r="L6" s="3"/>
      <c r="M6" s="3">
        <f>M$1</f>
        <v>35.640000000000008</v>
      </c>
      <c r="N6" s="3">
        <f t="shared" ref="N6:Q25" si="2">N$1</f>
        <v>13.200000000000001</v>
      </c>
      <c r="O6" s="3">
        <f t="shared" si="2"/>
        <v>6.6000000000000005</v>
      </c>
      <c r="P6" s="3">
        <f t="shared" si="2"/>
        <v>5.2800000000000011</v>
      </c>
      <c r="Q6" s="3">
        <f t="shared" si="2"/>
        <v>3.3000000000000003</v>
      </c>
      <c r="R6" s="3">
        <f>IF(C6&gt;65,0,IF(OR(AND(子1!C6&gt;=0,子1!C6&lt;=18),AND(子2!C6&gt;=0,子2!C6&lt;=18),AND(子3!C6&gt;=0,子3!C6&lt;=18),AND(子4!C6&gt;=0,子4!C6&lt;=18)),入力!$D$35,入力!$D$34)*12)</f>
        <v>12</v>
      </c>
      <c r="S6" s="14"/>
      <c r="T6" s="18">
        <f t="shared" ref="T6:T37" si="3">SUM(K6:S6)</f>
        <v>76.02000000000001</v>
      </c>
      <c r="U6" s="24">
        <f t="shared" ref="U6:U37" si="4">J6-T6</f>
        <v>205.48351999999997</v>
      </c>
      <c r="V6" s="3">
        <f t="shared" ref="V6:W69" si="5">V$1</f>
        <v>6</v>
      </c>
      <c r="W6" s="3">
        <f t="shared" si="5"/>
        <v>2.4000000000000004</v>
      </c>
      <c r="X6" s="3"/>
      <c r="Y6" s="3"/>
      <c r="Z6" s="3"/>
      <c r="AA6" s="3"/>
      <c r="AB6" s="14"/>
      <c r="AC6" s="18">
        <f t="shared" ref="AC6:AC37" si="6">SUM(V6:AB6)</f>
        <v>8.4</v>
      </c>
      <c r="AD6" s="24">
        <f t="shared" ref="AD6:AD37" si="7">U6-AC6</f>
        <v>197.08351999999996</v>
      </c>
      <c r="AE6" s="5">
        <f>AE$1</f>
        <v>36</v>
      </c>
      <c r="AF6" s="3"/>
      <c r="AG6" s="3"/>
      <c r="AH6" s="3"/>
      <c r="AI6" s="3"/>
      <c r="AJ6" s="14"/>
      <c r="AK6" s="18">
        <f>SUM(AE6:AJ6)</f>
        <v>36</v>
      </c>
      <c r="AL6" s="24">
        <f t="shared" ref="AL6:AL37" si="8">AD6-AK6</f>
        <v>161.08351999999996</v>
      </c>
      <c r="AM6" s="24">
        <f t="shared" ref="AM6:AM37" si="9">AL6+AM5</f>
        <v>161.08351999999996</v>
      </c>
      <c r="AQ6" s="24"/>
      <c r="AS6">
        <f>(親2!E6&lt;103)*1+AND(子1!C6&gt;=0,子1!C6&lt;15)*1+AND(子2!C6&gt;=0,子2!C6&lt;15)*1+AND(子3!C6&gt;=0,子3!C6&lt;15)*1+AND(子4!C6&gt;=0,子4!C6&lt;15)*1</f>
        <v>1</v>
      </c>
      <c r="AT6">
        <f>AND(子1!AC6&gt;0)*1+AND(子2!AC6&gt;0)*1+AND(子3!AC6&gt;0)*1+AND(子4!AC6&gt;0)*1</f>
        <v>0</v>
      </c>
      <c r="AU6" t="str">
        <f>IF(AND(AT6=0,AT5=0),"夫婦",IF(AT6=1,"子1人",IF(AT6&gt;=2,"子2人以上","子離れ")))</f>
        <v>夫婦</v>
      </c>
      <c r="AV6" s="1">
        <f>IF(D6,VLOOKUP(D6,年収と手取り!C:I,7,1),0)/9.1%</f>
        <v>386.10989010989005</v>
      </c>
    </row>
    <row r="7" spans="2:48" x14ac:dyDescent="0.25">
      <c r="B7" s="5">
        <f>B6+1</f>
        <v>20</v>
      </c>
      <c r="C7" s="3">
        <f>C6+1</f>
        <v>25</v>
      </c>
      <c r="D7" s="34">
        <f>IF(C7&gt;入力!$D$22,0,VLOOKUP(C7,賃金カーブ!R:T,3,0))</f>
        <v>382.13050993949867</v>
      </c>
      <c r="E7" s="3">
        <f>VLOOKUP(D7,年収と手取り!X:Y,2,1)</f>
        <v>299.10352</v>
      </c>
      <c r="F7" s="3">
        <f>入力!$E$28</f>
        <v>0</v>
      </c>
      <c r="G7" s="3">
        <f>IF(C7=入力!D$22,入力!E$31,0)</f>
        <v>0</v>
      </c>
      <c r="H7" s="3">
        <f t="shared" si="0"/>
        <v>0</v>
      </c>
      <c r="I7" s="14">
        <f>IF(H7&gt;0,-年金の税金!$G$24/10000,0)</f>
        <v>0</v>
      </c>
      <c r="J7" s="24">
        <f t="shared" si="1"/>
        <v>299.10352</v>
      </c>
      <c r="K7" s="5"/>
      <c r="L7" s="3"/>
      <c r="M7" s="3">
        <f t="shared" ref="M7:M22" si="10">M$1</f>
        <v>35.640000000000008</v>
      </c>
      <c r="N7" s="3">
        <f t="shared" si="2"/>
        <v>13.200000000000001</v>
      </c>
      <c r="O7" s="3">
        <f t="shared" si="2"/>
        <v>6.6000000000000005</v>
      </c>
      <c r="P7" s="3">
        <f t="shared" si="2"/>
        <v>5.2800000000000011</v>
      </c>
      <c r="Q7" s="3">
        <f t="shared" si="2"/>
        <v>3.3000000000000003</v>
      </c>
      <c r="R7" s="3">
        <f>IF(C7&gt;65,0,IF(OR(AND(子1!C7&gt;=0,子1!C7&lt;=18),AND(子2!C7&gt;=0,子2!C7&lt;=18),AND(子3!C7&gt;=0,子3!C7&lt;=18),AND(子4!C7&gt;=0,子4!C7&lt;=18)),入力!$D$35,入力!$D$34)*12)</f>
        <v>12</v>
      </c>
      <c r="S7" s="14"/>
      <c r="T7" s="18">
        <f t="shared" si="3"/>
        <v>76.02000000000001</v>
      </c>
      <c r="U7" s="24">
        <f t="shared" si="4"/>
        <v>223.08351999999999</v>
      </c>
      <c r="V7" s="3">
        <f t="shared" si="5"/>
        <v>6</v>
      </c>
      <c r="W7" s="3">
        <f t="shared" si="5"/>
        <v>2.4000000000000004</v>
      </c>
      <c r="X7" s="3"/>
      <c r="Y7" s="3"/>
      <c r="Z7" s="3"/>
      <c r="AA7" s="3"/>
      <c r="AB7" s="14"/>
      <c r="AC7" s="18">
        <f t="shared" si="6"/>
        <v>8.4</v>
      </c>
      <c r="AD7" s="24">
        <f t="shared" si="7"/>
        <v>214.68351999999999</v>
      </c>
      <c r="AE7" s="5">
        <f t="shared" ref="AE7:AE70" si="11">AE$1</f>
        <v>36</v>
      </c>
      <c r="AF7" s="3"/>
      <c r="AG7" s="3"/>
      <c r="AH7" s="3"/>
      <c r="AI7" s="3"/>
      <c r="AJ7" s="14"/>
      <c r="AK7" s="18">
        <f t="shared" ref="AK7:AK70" si="12">SUM(AE7:AJ7)</f>
        <v>36</v>
      </c>
      <c r="AL7" s="24">
        <f t="shared" si="8"/>
        <v>178.68351999999999</v>
      </c>
      <c r="AM7" s="24">
        <f t="shared" si="9"/>
        <v>339.76703999999995</v>
      </c>
      <c r="AQ7" s="24"/>
      <c r="AS7">
        <f>(親2!E7&lt;103)*1+AND(子1!C7&gt;=0,子1!C7&lt;15)*1+AND(子2!C7&gt;=0,子2!C7&lt;15)*1+AND(子3!C7&gt;=0,子3!C7&lt;15)*1+AND(子4!C7&gt;=0,子4!C7&lt;15)*1</f>
        <v>1</v>
      </c>
      <c r="AT7">
        <f>AND(子1!AC7&gt;0)*1+AND(子2!AC7&gt;0)*1+AND(子3!AC7&gt;0)*1+AND(子4!AC7&gt;0)*1</f>
        <v>0</v>
      </c>
      <c r="AU7" t="str">
        <f t="shared" ref="AU7:AU70" si="13">IF(AND(AT7=0,AT6=0),"夫婦",IF(AT7=1,"子1人",IF(AT7&gt;=2,"子2人以上","子離れ")))</f>
        <v>夫婦</v>
      </c>
      <c r="AV7" s="1">
        <f>IF(D7,VLOOKUP(D7,年収と手取り!C:I,7,1),0)/9.1%</f>
        <v>386.10989010989005</v>
      </c>
    </row>
    <row r="8" spans="2:48" x14ac:dyDescent="0.25">
      <c r="B8" s="5">
        <f t="shared" ref="B8:B39" si="14">B7+1</f>
        <v>21</v>
      </c>
      <c r="C8" s="3">
        <f t="shared" ref="C8:C70" si="15">C7+1</f>
        <v>26</v>
      </c>
      <c r="D8" s="34">
        <f>IF(C8&gt;入力!$D$22,0,VLOOKUP(C8,賃金カーブ!R:T,3,0))</f>
        <v>393.37623919667942</v>
      </c>
      <c r="E8" s="3">
        <f>VLOOKUP(D8,年収と手取り!X:Y,2,1)</f>
        <v>307.90352000000001</v>
      </c>
      <c r="F8" s="3">
        <f>入力!$E$28</f>
        <v>0</v>
      </c>
      <c r="G8" s="3">
        <f>IF(C8=入力!D$22,入力!E$31,0)</f>
        <v>0</v>
      </c>
      <c r="H8" s="3">
        <f t="shared" si="0"/>
        <v>0</v>
      </c>
      <c r="I8" s="14">
        <f>IF(H8&gt;0,-年金の税金!$G$24/10000,0)</f>
        <v>0</v>
      </c>
      <c r="J8" s="24">
        <f t="shared" si="1"/>
        <v>307.90352000000001</v>
      </c>
      <c r="K8" s="5"/>
      <c r="L8" s="3"/>
      <c r="M8" s="3">
        <f t="shared" si="10"/>
        <v>35.640000000000008</v>
      </c>
      <c r="N8" s="3">
        <f t="shared" si="2"/>
        <v>13.200000000000001</v>
      </c>
      <c r="O8" s="3">
        <f t="shared" si="2"/>
        <v>6.6000000000000005</v>
      </c>
      <c r="P8" s="3">
        <f t="shared" si="2"/>
        <v>5.2800000000000011</v>
      </c>
      <c r="Q8" s="3">
        <f t="shared" si="2"/>
        <v>3.3000000000000003</v>
      </c>
      <c r="R8" s="3">
        <f>IF(C8&gt;65,0,IF(OR(AND(子1!C8&gt;=0,子1!C8&lt;=18),AND(子2!C8&gt;=0,子2!C8&lt;=18),AND(子3!C8&gt;=0,子3!C8&lt;=18),AND(子4!C8&gt;=0,子4!C8&lt;=18)),入力!$D$35,入力!$D$34)*12)</f>
        <v>12</v>
      </c>
      <c r="S8" s="14"/>
      <c r="T8" s="18">
        <f t="shared" si="3"/>
        <v>76.02000000000001</v>
      </c>
      <c r="U8" s="24">
        <f t="shared" si="4"/>
        <v>231.88352</v>
      </c>
      <c r="V8" s="3">
        <f t="shared" si="5"/>
        <v>6</v>
      </c>
      <c r="W8" s="3">
        <f t="shared" si="5"/>
        <v>2.4000000000000004</v>
      </c>
      <c r="X8" s="3"/>
      <c r="Y8" s="3"/>
      <c r="Z8" s="3"/>
      <c r="AA8" s="3"/>
      <c r="AB8" s="14"/>
      <c r="AC8" s="18">
        <f t="shared" si="6"/>
        <v>8.4</v>
      </c>
      <c r="AD8" s="24">
        <f t="shared" si="7"/>
        <v>223.48352</v>
      </c>
      <c r="AE8" s="5">
        <f t="shared" si="11"/>
        <v>36</v>
      </c>
      <c r="AF8" s="3"/>
      <c r="AG8" s="3"/>
      <c r="AH8" s="3"/>
      <c r="AI8" s="3"/>
      <c r="AJ8" s="14"/>
      <c r="AK8" s="18">
        <f t="shared" si="12"/>
        <v>36</v>
      </c>
      <c r="AL8" s="24">
        <f t="shared" si="8"/>
        <v>187.48352</v>
      </c>
      <c r="AM8" s="24">
        <f t="shared" si="9"/>
        <v>527.25055999999995</v>
      </c>
      <c r="AQ8" s="24"/>
      <c r="AS8">
        <f>(親2!E8&lt;103)*1+AND(子1!C8&gt;=0,子1!C8&lt;15)*1+AND(子2!C8&gt;=0,子2!C8&lt;15)*1+AND(子3!C8&gt;=0,子3!C8&lt;15)*1+AND(子4!C8&gt;=0,子4!C8&lt;15)*1</f>
        <v>1</v>
      </c>
      <c r="AT8">
        <f>AND(子1!AC8&gt;0)*1+AND(子2!AC8&gt;0)*1+AND(子3!AC8&gt;0)*1+AND(子4!AC8&gt;0)*1</f>
        <v>0</v>
      </c>
      <c r="AU8" t="str">
        <f t="shared" si="13"/>
        <v>夫婦</v>
      </c>
      <c r="AV8" s="1">
        <f>IF(D8,VLOOKUP(D8,年収と手取り!C:I,7,1),0)/9.1%</f>
        <v>386.10989010989005</v>
      </c>
    </row>
    <row r="9" spans="2:48" x14ac:dyDescent="0.25">
      <c r="B9" s="5">
        <f t="shared" si="14"/>
        <v>22</v>
      </c>
      <c r="C9" s="3">
        <f t="shared" si="15"/>
        <v>27</v>
      </c>
      <c r="D9" s="34">
        <f>IF(C9&gt;入力!$D$22,0,VLOOKUP(C9,賃金カーブ!R:T,3,0))</f>
        <v>404.95291932859095</v>
      </c>
      <c r="E9" s="3">
        <f>VLOOKUP(D9,年収と手取り!X:Y,2,1)</f>
        <v>313.60374000000002</v>
      </c>
      <c r="F9" s="3">
        <f>入力!$E$28</f>
        <v>0</v>
      </c>
      <c r="G9" s="3">
        <f>IF(C9=入力!D$22,入力!E$31,0)</f>
        <v>0</v>
      </c>
      <c r="H9" s="3">
        <f t="shared" si="0"/>
        <v>0</v>
      </c>
      <c r="I9" s="14">
        <f>IF(H9&gt;0,-年金の税金!$G$24/10000,0)</f>
        <v>0</v>
      </c>
      <c r="J9" s="24">
        <f t="shared" si="1"/>
        <v>313.60374000000002</v>
      </c>
      <c r="K9" s="5"/>
      <c r="L9" s="3"/>
      <c r="M9" s="3">
        <f t="shared" si="10"/>
        <v>35.640000000000008</v>
      </c>
      <c r="N9" s="3">
        <f t="shared" si="2"/>
        <v>13.200000000000001</v>
      </c>
      <c r="O9" s="3">
        <f t="shared" si="2"/>
        <v>6.6000000000000005</v>
      </c>
      <c r="P9" s="3">
        <f t="shared" si="2"/>
        <v>5.2800000000000011</v>
      </c>
      <c r="Q9" s="3">
        <f t="shared" si="2"/>
        <v>3.3000000000000003</v>
      </c>
      <c r="R9" s="3">
        <f>IF(C9&gt;65,0,IF(OR(AND(子1!C9&gt;=0,子1!C9&lt;=18),AND(子2!C9&gt;=0,子2!C9&lt;=18),AND(子3!C9&gt;=0,子3!C9&lt;=18),AND(子4!C9&gt;=0,子4!C9&lt;=18)),入力!$D$35,入力!$D$34)*12)</f>
        <v>12</v>
      </c>
      <c r="S9" s="14"/>
      <c r="T9" s="18">
        <f t="shared" si="3"/>
        <v>76.02000000000001</v>
      </c>
      <c r="U9" s="24">
        <f t="shared" si="4"/>
        <v>237.58374000000001</v>
      </c>
      <c r="V9" s="3">
        <f t="shared" si="5"/>
        <v>6</v>
      </c>
      <c r="W9" s="3">
        <f t="shared" si="5"/>
        <v>2.4000000000000004</v>
      </c>
      <c r="X9" s="3"/>
      <c r="Y9" s="3"/>
      <c r="Z9" s="3"/>
      <c r="AA9" s="3"/>
      <c r="AB9" s="14"/>
      <c r="AC9" s="18">
        <f t="shared" si="6"/>
        <v>8.4</v>
      </c>
      <c r="AD9" s="24">
        <f t="shared" si="7"/>
        <v>229.18374</v>
      </c>
      <c r="AE9" s="5">
        <f t="shared" si="11"/>
        <v>36</v>
      </c>
      <c r="AF9" s="3"/>
      <c r="AG9" s="3"/>
      <c r="AH9" s="3"/>
      <c r="AI9" s="3"/>
      <c r="AJ9" s="14"/>
      <c r="AK9" s="18">
        <f t="shared" si="12"/>
        <v>36</v>
      </c>
      <c r="AL9" s="24">
        <f t="shared" si="8"/>
        <v>193.18374</v>
      </c>
      <c r="AM9" s="24">
        <f t="shared" si="9"/>
        <v>720.43429999999989</v>
      </c>
      <c r="AQ9" s="24"/>
      <c r="AS9">
        <f>(親2!E9&lt;103)*1+AND(子1!C9&gt;=0,子1!C9&lt;15)*1+AND(子2!C9&gt;=0,子2!C9&lt;15)*1+AND(子3!C9&gt;=0,子3!C9&lt;15)*1+AND(子4!C9&gt;=0,子4!C9&lt;15)*1</f>
        <v>1</v>
      </c>
      <c r="AT9">
        <f>AND(子1!AC9&gt;0)*1+AND(子2!AC9&gt;0)*1+AND(子3!AC9&gt;0)*1+AND(子4!AC9&gt;0)*1</f>
        <v>0</v>
      </c>
      <c r="AU9" t="str">
        <f t="shared" si="13"/>
        <v>夫婦</v>
      </c>
      <c r="AV9" s="1">
        <f>IF(D9,VLOOKUP(D9,年収と手取り!C:I,7,1),0)/9.1%</f>
        <v>410.24175824175819</v>
      </c>
    </row>
    <row r="10" spans="2:48" x14ac:dyDescent="0.25">
      <c r="B10" s="5">
        <f t="shared" si="14"/>
        <v>23</v>
      </c>
      <c r="C10" s="3">
        <f t="shared" si="15"/>
        <v>28</v>
      </c>
      <c r="D10" s="34">
        <f>IF(C10&gt;入力!$D$22,0,VLOOKUP(C10,賃金カーブ!R:T,3,0))</f>
        <v>416.87028989760228</v>
      </c>
      <c r="E10" s="3">
        <f>VLOOKUP(D10,年収と手取り!X:Y,2,1)</f>
        <v>322.40374000000003</v>
      </c>
      <c r="F10" s="3">
        <f>入力!$E$28</f>
        <v>0</v>
      </c>
      <c r="G10" s="3">
        <f>IF(C10=入力!D$22,入力!E$31,0)</f>
        <v>0</v>
      </c>
      <c r="H10" s="3">
        <f t="shared" si="0"/>
        <v>0</v>
      </c>
      <c r="I10" s="14">
        <f>IF(H10&gt;0,-年金の税金!$G$24/10000,0)</f>
        <v>0</v>
      </c>
      <c r="J10" s="24">
        <f t="shared" si="1"/>
        <v>322.40374000000003</v>
      </c>
      <c r="K10" s="5"/>
      <c r="L10" s="3"/>
      <c r="M10" s="3">
        <f t="shared" si="10"/>
        <v>35.640000000000008</v>
      </c>
      <c r="N10" s="3">
        <f t="shared" si="2"/>
        <v>13.200000000000001</v>
      </c>
      <c r="O10" s="3">
        <f t="shared" si="2"/>
        <v>6.6000000000000005</v>
      </c>
      <c r="P10" s="3">
        <f t="shared" si="2"/>
        <v>5.2800000000000011</v>
      </c>
      <c r="Q10" s="3">
        <f t="shared" si="2"/>
        <v>3.3000000000000003</v>
      </c>
      <c r="R10" s="3">
        <f>IF(C10&gt;65,0,IF(OR(AND(子1!C10&gt;=0,子1!C10&lt;=18),AND(子2!C10&gt;=0,子2!C10&lt;=18),AND(子3!C10&gt;=0,子3!C10&lt;=18),AND(子4!C10&gt;=0,子4!C10&lt;=18)),入力!$D$35,入力!$D$34)*12)</f>
        <v>12</v>
      </c>
      <c r="S10" s="14"/>
      <c r="T10" s="18">
        <f t="shared" si="3"/>
        <v>76.02000000000001</v>
      </c>
      <c r="U10" s="24">
        <f t="shared" si="4"/>
        <v>246.38374000000002</v>
      </c>
      <c r="V10" s="3">
        <f t="shared" si="5"/>
        <v>6</v>
      </c>
      <c r="W10" s="3">
        <f t="shared" si="5"/>
        <v>2.4000000000000004</v>
      </c>
      <c r="X10" s="3"/>
      <c r="Y10" s="3"/>
      <c r="Z10" s="3"/>
      <c r="AA10" s="3"/>
      <c r="AB10" s="14"/>
      <c r="AC10" s="18">
        <f t="shared" si="6"/>
        <v>8.4</v>
      </c>
      <c r="AD10" s="24">
        <f t="shared" si="7"/>
        <v>237.98374000000001</v>
      </c>
      <c r="AE10" s="5">
        <f t="shared" si="11"/>
        <v>36</v>
      </c>
      <c r="AF10" s="3"/>
      <c r="AG10" s="3"/>
      <c r="AH10" s="3"/>
      <c r="AI10" s="3"/>
      <c r="AJ10" s="14"/>
      <c r="AK10" s="18">
        <f t="shared" si="12"/>
        <v>36</v>
      </c>
      <c r="AL10" s="24">
        <f t="shared" si="8"/>
        <v>201.98374000000001</v>
      </c>
      <c r="AM10" s="24">
        <f t="shared" si="9"/>
        <v>922.41803999999991</v>
      </c>
      <c r="AQ10" s="24"/>
      <c r="AS10">
        <f>(親2!E10&lt;103)*1+AND(子1!C10&gt;=0,子1!C10&lt;15)*1+AND(子2!C10&gt;=0,子2!C10&lt;15)*1+AND(子3!C10&gt;=0,子3!C10&lt;15)*1+AND(子4!C10&gt;=0,子4!C10&lt;15)*1</f>
        <v>2</v>
      </c>
      <c r="AT10">
        <f>AND(子1!AC10&gt;0)*1+AND(子2!AC10&gt;0)*1+AND(子3!AC10&gt;0)*1+AND(子4!AC10&gt;0)*1</f>
        <v>1</v>
      </c>
      <c r="AU10" t="str">
        <f t="shared" si="13"/>
        <v>子1人</v>
      </c>
      <c r="AV10" s="1">
        <f>IF(D10,VLOOKUP(D10,年収と手取り!C:I,7,1),0)/9.1%</f>
        <v>410.24175824175819</v>
      </c>
    </row>
    <row r="11" spans="2:48" x14ac:dyDescent="0.25">
      <c r="B11" s="5">
        <f t="shared" si="14"/>
        <v>24</v>
      </c>
      <c r="C11" s="3">
        <f t="shared" si="15"/>
        <v>29</v>
      </c>
      <c r="D11" s="34">
        <f>IF(C11&gt;入力!$D$22,0,VLOOKUP(C11,賃金カーブ!R:T,3,0))</f>
        <v>429.13837709193047</v>
      </c>
      <c r="E11" s="3">
        <f>VLOOKUP(D11,年収と手取り!X:Y,2,1)</f>
        <v>328.10396000000003</v>
      </c>
      <c r="F11" s="3">
        <f>入力!$E$28</f>
        <v>0</v>
      </c>
      <c r="G11" s="3">
        <f>IF(C11=入力!D$22,入力!E$31,0)</f>
        <v>0</v>
      </c>
      <c r="H11" s="3">
        <f t="shared" si="0"/>
        <v>0</v>
      </c>
      <c r="I11" s="14">
        <f>IF(H11&gt;0,-年金の税金!$G$24/10000,0)</f>
        <v>0</v>
      </c>
      <c r="J11" s="24">
        <f t="shared" si="1"/>
        <v>328.10396000000003</v>
      </c>
      <c r="K11" s="5"/>
      <c r="L11" s="3"/>
      <c r="M11" s="3">
        <f t="shared" si="10"/>
        <v>35.640000000000008</v>
      </c>
      <c r="N11" s="3">
        <f t="shared" si="2"/>
        <v>13.200000000000001</v>
      </c>
      <c r="O11" s="3">
        <f t="shared" si="2"/>
        <v>6.6000000000000005</v>
      </c>
      <c r="P11" s="3">
        <f t="shared" si="2"/>
        <v>5.2800000000000011</v>
      </c>
      <c r="Q11" s="3">
        <f t="shared" si="2"/>
        <v>3.3000000000000003</v>
      </c>
      <c r="R11" s="3">
        <f>IF(C11&gt;65,0,IF(OR(AND(子1!C11&gt;=0,子1!C11&lt;=18),AND(子2!C11&gt;=0,子2!C11&lt;=18),AND(子3!C11&gt;=0,子3!C11&lt;=18),AND(子4!C11&gt;=0,子4!C11&lt;=18)),入力!$D$35,入力!$D$34)*12)</f>
        <v>12</v>
      </c>
      <c r="S11" s="14"/>
      <c r="T11" s="18">
        <f t="shared" si="3"/>
        <v>76.02000000000001</v>
      </c>
      <c r="U11" s="24">
        <f t="shared" si="4"/>
        <v>252.08396000000002</v>
      </c>
      <c r="V11" s="3">
        <f t="shared" si="5"/>
        <v>6</v>
      </c>
      <c r="W11" s="3">
        <f t="shared" si="5"/>
        <v>2.4000000000000004</v>
      </c>
      <c r="X11" s="3"/>
      <c r="Y11" s="3"/>
      <c r="Z11" s="3"/>
      <c r="AA11" s="3"/>
      <c r="AB11" s="14"/>
      <c r="AC11" s="18">
        <f t="shared" si="6"/>
        <v>8.4</v>
      </c>
      <c r="AD11" s="24">
        <f t="shared" si="7"/>
        <v>243.68396000000001</v>
      </c>
      <c r="AE11" s="5">
        <f t="shared" si="11"/>
        <v>36</v>
      </c>
      <c r="AF11" s="3"/>
      <c r="AG11" s="3"/>
      <c r="AH11" s="3"/>
      <c r="AI11" s="3"/>
      <c r="AJ11" s="14"/>
      <c r="AK11" s="18">
        <f t="shared" si="12"/>
        <v>36</v>
      </c>
      <c r="AL11" s="24">
        <f t="shared" si="8"/>
        <v>207.68396000000001</v>
      </c>
      <c r="AM11" s="24">
        <f t="shared" si="9"/>
        <v>1130.1019999999999</v>
      </c>
      <c r="AQ11" s="24"/>
      <c r="AS11">
        <f>(親2!E11&lt;103)*1+AND(子1!C11&gt;=0,子1!C11&lt;15)*1+AND(子2!C11&gt;=0,子2!C11&lt;15)*1+AND(子3!C11&gt;=0,子3!C11&lt;15)*1+AND(子4!C11&gt;=0,子4!C11&lt;15)*1</f>
        <v>2</v>
      </c>
      <c r="AT11">
        <f>AND(子1!AC11&gt;0)*1+AND(子2!AC11&gt;0)*1+AND(子3!AC11&gt;0)*1+AND(子4!AC11&gt;0)*1</f>
        <v>1</v>
      </c>
      <c r="AU11" t="str">
        <f t="shared" si="13"/>
        <v>子1人</v>
      </c>
      <c r="AV11" s="1">
        <f>IF(D11,VLOOKUP(D11,年収と手取り!C:I,7,1),0)/9.1%</f>
        <v>434.37362637362639</v>
      </c>
    </row>
    <row r="12" spans="2:48" x14ac:dyDescent="0.25">
      <c r="B12" s="5">
        <f t="shared" si="14"/>
        <v>25</v>
      </c>
      <c r="C12" s="3">
        <f t="shared" si="15"/>
        <v>30</v>
      </c>
      <c r="D12" s="34">
        <f>IF(C12&gt;入力!$D$22,0,VLOOKUP(C12,賃金カーブ!R:T,3,0))</f>
        <v>441.76750216076061</v>
      </c>
      <c r="E12" s="3">
        <f>VLOOKUP(D12,年収と手取り!X:Y,2,1)</f>
        <v>345.70396</v>
      </c>
      <c r="F12" s="3">
        <f>入力!$E$28</f>
        <v>0</v>
      </c>
      <c r="G12" s="3">
        <f>IF(C12=入力!D$22,入力!E$31,0)</f>
        <v>0</v>
      </c>
      <c r="H12" s="3">
        <f t="shared" si="0"/>
        <v>0</v>
      </c>
      <c r="I12" s="14">
        <f>IF(H12&gt;0,-年金の税金!$G$24/10000,0)</f>
        <v>0</v>
      </c>
      <c r="J12" s="24">
        <f t="shared" si="1"/>
        <v>345.70396</v>
      </c>
      <c r="K12" s="5"/>
      <c r="L12" s="3"/>
      <c r="M12" s="3">
        <f t="shared" si="10"/>
        <v>35.640000000000008</v>
      </c>
      <c r="N12" s="3">
        <f t="shared" si="2"/>
        <v>13.200000000000001</v>
      </c>
      <c r="O12" s="3">
        <f t="shared" si="2"/>
        <v>6.6000000000000005</v>
      </c>
      <c r="P12" s="3">
        <f t="shared" si="2"/>
        <v>5.2800000000000011</v>
      </c>
      <c r="Q12" s="3">
        <f t="shared" si="2"/>
        <v>3.3000000000000003</v>
      </c>
      <c r="R12" s="3">
        <f>IF(C12&gt;65,0,IF(OR(AND(子1!C12&gt;=0,子1!C12&lt;=18),AND(子2!C12&gt;=0,子2!C12&lt;=18),AND(子3!C12&gt;=0,子3!C12&lt;=18),AND(子4!C12&gt;=0,子4!C12&lt;=18)),入力!$D$35,入力!$D$34)*12)</f>
        <v>12</v>
      </c>
      <c r="S12" s="14"/>
      <c r="T12" s="18">
        <f t="shared" si="3"/>
        <v>76.02000000000001</v>
      </c>
      <c r="U12" s="24">
        <f t="shared" si="4"/>
        <v>269.68395999999996</v>
      </c>
      <c r="V12" s="3">
        <f t="shared" si="5"/>
        <v>6</v>
      </c>
      <c r="W12" s="3">
        <f t="shared" si="5"/>
        <v>2.4000000000000004</v>
      </c>
      <c r="X12" s="3"/>
      <c r="Y12" s="3"/>
      <c r="Z12" s="3"/>
      <c r="AA12" s="3"/>
      <c r="AB12" s="14"/>
      <c r="AC12" s="18">
        <f t="shared" si="6"/>
        <v>8.4</v>
      </c>
      <c r="AD12" s="24">
        <f t="shared" si="7"/>
        <v>261.28395999999998</v>
      </c>
      <c r="AE12" s="5">
        <f t="shared" si="11"/>
        <v>36</v>
      </c>
      <c r="AF12" s="3"/>
      <c r="AG12" s="3"/>
      <c r="AH12" s="3"/>
      <c r="AI12" s="3"/>
      <c r="AJ12" s="14"/>
      <c r="AK12" s="18">
        <f t="shared" si="12"/>
        <v>36</v>
      </c>
      <c r="AL12" s="24">
        <f t="shared" si="8"/>
        <v>225.28395999999998</v>
      </c>
      <c r="AM12" s="24">
        <f t="shared" si="9"/>
        <v>1355.3859599999998</v>
      </c>
      <c r="AQ12" s="24"/>
      <c r="AS12">
        <f>(親2!E12&lt;103)*1+AND(子1!C12&gt;=0,子1!C12&lt;15)*1+AND(子2!C12&gt;=0,子2!C12&lt;15)*1+AND(子3!C12&gt;=0,子3!C12&lt;15)*1+AND(子4!C12&gt;=0,子4!C12&lt;15)*1</f>
        <v>2</v>
      </c>
      <c r="AT12">
        <f>AND(子1!AC12&gt;0)*1+AND(子2!AC12&gt;0)*1+AND(子3!AC12&gt;0)*1+AND(子4!AC12&gt;0)*1</f>
        <v>1</v>
      </c>
      <c r="AU12" t="str">
        <f t="shared" si="13"/>
        <v>子1人</v>
      </c>
      <c r="AV12" s="1">
        <f>IF(D12,VLOOKUP(D12,年収と手取り!C:I,7,1),0)/9.1%</f>
        <v>434.37362637362639</v>
      </c>
    </row>
    <row r="13" spans="2:48" x14ac:dyDescent="0.25">
      <c r="B13" s="5">
        <f t="shared" si="14"/>
        <v>26</v>
      </c>
      <c r="C13" s="3">
        <f t="shared" si="15"/>
        <v>31</v>
      </c>
      <c r="D13" s="34">
        <f>IF(C13&gt;入力!$D$22,0,VLOOKUP(C13,賃金カーブ!R:T,3,0))</f>
        <v>452.62893912920146</v>
      </c>
      <c r="E13" s="3">
        <f>VLOOKUP(D13,年収と手取り!X:Y,2,1)</f>
        <v>351.21863999999999</v>
      </c>
      <c r="F13" s="3">
        <f>入力!$E$28</f>
        <v>0</v>
      </c>
      <c r="G13" s="3">
        <f>IF(C13=入力!D$22,入力!E$31,0)</f>
        <v>0</v>
      </c>
      <c r="H13" s="3">
        <f t="shared" si="0"/>
        <v>0</v>
      </c>
      <c r="I13" s="14">
        <f>IF(H13&gt;0,-年金の税金!$G$24/10000,0)</f>
        <v>0</v>
      </c>
      <c r="J13" s="24">
        <f t="shared" si="1"/>
        <v>351.21863999999999</v>
      </c>
      <c r="K13" s="5"/>
      <c r="L13" s="3"/>
      <c r="M13" s="3">
        <f t="shared" si="10"/>
        <v>35.640000000000008</v>
      </c>
      <c r="N13" s="3">
        <f t="shared" si="2"/>
        <v>13.200000000000001</v>
      </c>
      <c r="O13" s="3">
        <f t="shared" si="2"/>
        <v>6.6000000000000005</v>
      </c>
      <c r="P13" s="3">
        <f t="shared" si="2"/>
        <v>5.2800000000000011</v>
      </c>
      <c r="Q13" s="3">
        <f t="shared" si="2"/>
        <v>3.3000000000000003</v>
      </c>
      <c r="R13" s="3">
        <f>IF(C13&gt;65,0,IF(OR(AND(子1!C13&gt;=0,子1!C13&lt;=18),AND(子2!C13&gt;=0,子2!C13&lt;=18),AND(子3!C13&gt;=0,子3!C13&lt;=18),AND(子4!C13&gt;=0,子4!C13&lt;=18)),入力!$D$35,入力!$D$34)*12)</f>
        <v>12</v>
      </c>
      <c r="S13" s="14"/>
      <c r="T13" s="18">
        <f t="shared" si="3"/>
        <v>76.02000000000001</v>
      </c>
      <c r="U13" s="24">
        <f t="shared" si="4"/>
        <v>275.19863999999995</v>
      </c>
      <c r="V13" s="3">
        <f t="shared" si="5"/>
        <v>6</v>
      </c>
      <c r="W13" s="3">
        <f t="shared" si="5"/>
        <v>2.4000000000000004</v>
      </c>
      <c r="X13" s="3"/>
      <c r="Y13" s="3"/>
      <c r="Z13" s="3"/>
      <c r="AA13" s="3"/>
      <c r="AB13" s="14"/>
      <c r="AC13" s="18">
        <f t="shared" si="6"/>
        <v>8.4</v>
      </c>
      <c r="AD13" s="24">
        <f t="shared" si="7"/>
        <v>266.79863999999998</v>
      </c>
      <c r="AE13" s="5">
        <f t="shared" si="11"/>
        <v>36</v>
      </c>
      <c r="AF13" s="3"/>
      <c r="AG13" s="3"/>
      <c r="AH13" s="3"/>
      <c r="AI13" s="3"/>
      <c r="AJ13" s="14"/>
      <c r="AK13" s="18">
        <f t="shared" si="12"/>
        <v>36</v>
      </c>
      <c r="AL13" s="24">
        <f t="shared" si="8"/>
        <v>230.79863999999998</v>
      </c>
      <c r="AM13" s="24">
        <f t="shared" si="9"/>
        <v>1586.1845999999998</v>
      </c>
      <c r="AQ13" s="24"/>
      <c r="AS13">
        <f>(親2!E13&lt;103)*1+AND(子1!C13&gt;=0,子1!C13&lt;15)*1+AND(子2!C13&gt;=0,子2!C13&lt;15)*1+AND(子3!C13&gt;=0,子3!C13&lt;15)*1+AND(子4!C13&gt;=0,子4!C13&lt;15)*1</f>
        <v>3</v>
      </c>
      <c r="AT13">
        <f>AND(子1!AC13&gt;0)*1+AND(子2!AC13&gt;0)*1+AND(子3!AC13&gt;0)*1+AND(子4!AC13&gt;0)*1</f>
        <v>2</v>
      </c>
      <c r="AU13" t="str">
        <f t="shared" si="13"/>
        <v>子2人以上</v>
      </c>
      <c r="AV13" s="1">
        <f>IF(D13,VLOOKUP(D13,年収と手取り!C:I,7,1),0)/9.1%</f>
        <v>458.50549450549448</v>
      </c>
    </row>
    <row r="14" spans="2:48" x14ac:dyDescent="0.25">
      <c r="B14" s="5">
        <f t="shared" si="14"/>
        <v>27</v>
      </c>
      <c r="C14" s="3">
        <f t="shared" si="15"/>
        <v>32</v>
      </c>
      <c r="D14" s="34">
        <f>IF(C14&gt;入力!$D$22,0,VLOOKUP(C14,賃金カーブ!R:T,3,0))</f>
        <v>463.75741885756111</v>
      </c>
      <c r="E14" s="3">
        <f>VLOOKUP(D14,年収と手取り!X:Y,2,1)</f>
        <v>359.61864000000003</v>
      </c>
      <c r="F14" s="3">
        <f>入力!$E$28</f>
        <v>0</v>
      </c>
      <c r="G14" s="3">
        <f>IF(C14=入力!D$22,入力!E$31,0)</f>
        <v>0</v>
      </c>
      <c r="H14" s="3">
        <f t="shared" si="0"/>
        <v>0</v>
      </c>
      <c r="I14" s="14">
        <f>IF(H14&gt;0,-年金の税金!$G$24/10000,0)</f>
        <v>0</v>
      </c>
      <c r="J14" s="24">
        <f t="shared" si="1"/>
        <v>359.61864000000003</v>
      </c>
      <c r="K14" s="5"/>
      <c r="L14" s="3"/>
      <c r="M14" s="3">
        <f t="shared" si="10"/>
        <v>35.640000000000008</v>
      </c>
      <c r="N14" s="3">
        <f t="shared" si="2"/>
        <v>13.200000000000001</v>
      </c>
      <c r="O14" s="3">
        <f t="shared" si="2"/>
        <v>6.6000000000000005</v>
      </c>
      <c r="P14" s="3">
        <f t="shared" si="2"/>
        <v>5.2800000000000011</v>
      </c>
      <c r="Q14" s="3">
        <f t="shared" si="2"/>
        <v>3.3000000000000003</v>
      </c>
      <c r="R14" s="3">
        <f>IF(C14&gt;65,0,IF(OR(AND(子1!C14&gt;=0,子1!C14&lt;=18),AND(子2!C14&gt;=0,子2!C14&lt;=18),AND(子3!C14&gt;=0,子3!C14&lt;=18),AND(子4!C14&gt;=0,子4!C14&lt;=18)),入力!$D$35,入力!$D$34)*12)</f>
        <v>12</v>
      </c>
      <c r="S14" s="14"/>
      <c r="T14" s="18">
        <f t="shared" si="3"/>
        <v>76.02000000000001</v>
      </c>
      <c r="U14" s="24">
        <f t="shared" si="4"/>
        <v>283.59864000000005</v>
      </c>
      <c r="V14" s="3">
        <f t="shared" si="5"/>
        <v>6</v>
      </c>
      <c r="W14" s="3">
        <f t="shared" si="5"/>
        <v>2.4000000000000004</v>
      </c>
      <c r="X14" s="3"/>
      <c r="Y14" s="3"/>
      <c r="Z14" s="3"/>
      <c r="AA14" s="3"/>
      <c r="AB14" s="14"/>
      <c r="AC14" s="18">
        <f t="shared" si="6"/>
        <v>8.4</v>
      </c>
      <c r="AD14" s="24">
        <f t="shared" si="7"/>
        <v>275.19864000000007</v>
      </c>
      <c r="AE14" s="5">
        <f t="shared" si="11"/>
        <v>36</v>
      </c>
      <c r="AF14" s="3"/>
      <c r="AG14" s="3"/>
      <c r="AH14" s="3"/>
      <c r="AI14" s="3"/>
      <c r="AJ14" s="14"/>
      <c r="AK14" s="18">
        <f t="shared" si="12"/>
        <v>36</v>
      </c>
      <c r="AL14" s="24">
        <f t="shared" si="8"/>
        <v>239.19864000000007</v>
      </c>
      <c r="AM14" s="24">
        <f t="shared" si="9"/>
        <v>1825.3832399999999</v>
      </c>
      <c r="AQ14" s="24"/>
      <c r="AS14">
        <f>(親2!E14&lt;103)*1+AND(子1!C14&gt;=0,子1!C14&lt;15)*1+AND(子2!C14&gt;=0,子2!C14&lt;15)*1+AND(子3!C14&gt;=0,子3!C14&lt;15)*1+AND(子4!C14&gt;=0,子4!C14&lt;15)*1</f>
        <v>3</v>
      </c>
      <c r="AT14">
        <f>AND(子1!AC14&gt;0)*1+AND(子2!AC14&gt;0)*1+AND(子3!AC14&gt;0)*1+AND(子4!AC14&gt;0)*1</f>
        <v>2</v>
      </c>
      <c r="AU14" t="str">
        <f t="shared" si="13"/>
        <v>子2人以上</v>
      </c>
      <c r="AV14" s="1">
        <f>IF(D14,VLOOKUP(D14,年収と手取り!C:I,7,1),0)/9.1%</f>
        <v>458.50549450549448</v>
      </c>
    </row>
    <row r="15" spans="2:48" x14ac:dyDescent="0.25">
      <c r="B15" s="5">
        <f t="shared" si="14"/>
        <v>28</v>
      </c>
      <c r="C15" s="3">
        <f t="shared" si="15"/>
        <v>33</v>
      </c>
      <c r="D15" s="34">
        <f>IF(C15&gt;入力!$D$22,0,VLOOKUP(C15,賃金カーブ!R:T,3,0))</f>
        <v>475.1595069444644</v>
      </c>
      <c r="E15" s="3">
        <f>VLOOKUP(D15,年収と手取り!X:Y,2,1)</f>
        <v>368.01864</v>
      </c>
      <c r="F15" s="3">
        <f>入力!$E$28</f>
        <v>0</v>
      </c>
      <c r="G15" s="3">
        <f>IF(C15=入力!D$22,入力!E$31,0)</f>
        <v>0</v>
      </c>
      <c r="H15" s="3">
        <f t="shared" si="0"/>
        <v>0</v>
      </c>
      <c r="I15" s="14">
        <f>IF(H15&gt;0,-年金の税金!$G$24/10000,0)</f>
        <v>0</v>
      </c>
      <c r="J15" s="24">
        <f t="shared" si="1"/>
        <v>368.01864</v>
      </c>
      <c r="K15" s="5"/>
      <c r="L15" s="3"/>
      <c r="M15" s="3">
        <f t="shared" si="10"/>
        <v>35.640000000000008</v>
      </c>
      <c r="N15" s="3">
        <f t="shared" si="2"/>
        <v>13.200000000000001</v>
      </c>
      <c r="O15" s="3">
        <f t="shared" si="2"/>
        <v>6.6000000000000005</v>
      </c>
      <c r="P15" s="3">
        <f t="shared" si="2"/>
        <v>5.2800000000000011</v>
      </c>
      <c r="Q15" s="3">
        <f t="shared" si="2"/>
        <v>3.3000000000000003</v>
      </c>
      <c r="R15" s="3">
        <f>IF(C15&gt;65,0,IF(OR(AND(子1!C15&gt;=0,子1!C15&lt;=18),AND(子2!C15&gt;=0,子2!C15&lt;=18),AND(子3!C15&gt;=0,子3!C15&lt;=18),AND(子4!C15&gt;=0,子4!C15&lt;=18)),入力!$D$35,入力!$D$34)*12)</f>
        <v>12</v>
      </c>
      <c r="S15" s="14"/>
      <c r="T15" s="18">
        <f t="shared" si="3"/>
        <v>76.02000000000001</v>
      </c>
      <c r="U15" s="24">
        <f t="shared" si="4"/>
        <v>291.99864000000002</v>
      </c>
      <c r="V15" s="3">
        <f t="shared" si="5"/>
        <v>6</v>
      </c>
      <c r="W15" s="3">
        <f t="shared" si="5"/>
        <v>2.4000000000000004</v>
      </c>
      <c r="X15" s="3"/>
      <c r="Y15" s="3"/>
      <c r="Z15" s="3"/>
      <c r="AA15" s="3"/>
      <c r="AB15" s="14"/>
      <c r="AC15" s="18">
        <f t="shared" si="6"/>
        <v>8.4</v>
      </c>
      <c r="AD15" s="24">
        <f t="shared" si="7"/>
        <v>283.59864000000005</v>
      </c>
      <c r="AE15" s="5">
        <f t="shared" si="11"/>
        <v>36</v>
      </c>
      <c r="AF15" s="3"/>
      <c r="AG15" s="3"/>
      <c r="AH15" s="3"/>
      <c r="AI15" s="3"/>
      <c r="AJ15" s="14"/>
      <c r="AK15" s="18">
        <f t="shared" si="12"/>
        <v>36</v>
      </c>
      <c r="AL15" s="24">
        <f t="shared" si="8"/>
        <v>247.59864000000005</v>
      </c>
      <c r="AM15" s="24">
        <f t="shared" si="9"/>
        <v>2072.9818799999998</v>
      </c>
      <c r="AQ15" s="24"/>
      <c r="AS15">
        <f>(親2!E15&lt;103)*1+AND(子1!C15&gt;=0,子1!C15&lt;15)*1+AND(子2!C15&gt;=0,子2!C15&lt;15)*1+AND(子3!C15&gt;=0,子3!C15&lt;15)*1+AND(子4!C15&gt;=0,子4!C15&lt;15)*1</f>
        <v>3</v>
      </c>
      <c r="AT15">
        <f>AND(子1!AC15&gt;0)*1+AND(子2!AC15&gt;0)*1+AND(子3!AC15&gt;0)*1+AND(子4!AC15&gt;0)*1</f>
        <v>2</v>
      </c>
      <c r="AU15" t="str">
        <f t="shared" si="13"/>
        <v>子2人以上</v>
      </c>
      <c r="AV15" s="1">
        <f>IF(D15,VLOOKUP(D15,年収と手取り!C:I,7,1),0)/9.1%</f>
        <v>458.50549450549448</v>
      </c>
    </row>
    <row r="16" spans="2:48" x14ac:dyDescent="0.25">
      <c r="B16" s="5">
        <f t="shared" si="14"/>
        <v>29</v>
      </c>
      <c r="C16" s="3">
        <f t="shared" si="15"/>
        <v>34</v>
      </c>
      <c r="D16" s="34">
        <f>IF(C16&gt;入力!$D$22,0,VLOOKUP(C16,賃金カーブ!R:T,3,0))</f>
        <v>486.84193041244208</v>
      </c>
      <c r="E16" s="3">
        <f>VLOOKUP(D16,年収と手取り!X:Y,2,1)</f>
        <v>372.04247999999995</v>
      </c>
      <c r="F16" s="3">
        <f>入力!$E$28</f>
        <v>0</v>
      </c>
      <c r="G16" s="3">
        <f>IF(C16=入力!D$22,入力!E$31,0)</f>
        <v>0</v>
      </c>
      <c r="H16" s="3">
        <f t="shared" si="0"/>
        <v>0</v>
      </c>
      <c r="I16" s="14">
        <f>IF(H16&gt;0,-年金の税金!$G$24/10000,0)</f>
        <v>0</v>
      </c>
      <c r="J16" s="24">
        <f t="shared" si="1"/>
        <v>372.04247999999995</v>
      </c>
      <c r="K16" s="5"/>
      <c r="L16" s="3"/>
      <c r="M16" s="3">
        <f t="shared" si="10"/>
        <v>35.640000000000008</v>
      </c>
      <c r="N16" s="3">
        <f t="shared" si="2"/>
        <v>13.200000000000001</v>
      </c>
      <c r="O16" s="3">
        <f t="shared" si="2"/>
        <v>6.6000000000000005</v>
      </c>
      <c r="P16" s="3">
        <f t="shared" si="2"/>
        <v>5.2800000000000011</v>
      </c>
      <c r="Q16" s="3">
        <f t="shared" si="2"/>
        <v>3.3000000000000003</v>
      </c>
      <c r="R16" s="3">
        <f>IF(C16&gt;65,0,IF(OR(AND(子1!C16&gt;=0,子1!C16&lt;=18),AND(子2!C16&gt;=0,子2!C16&lt;=18),AND(子3!C16&gt;=0,子3!C16&lt;=18),AND(子4!C16&gt;=0,子4!C16&lt;=18)),入力!$D$35,入力!$D$34)*12)</f>
        <v>12</v>
      </c>
      <c r="S16" s="14"/>
      <c r="T16" s="18">
        <f t="shared" si="3"/>
        <v>76.02000000000001</v>
      </c>
      <c r="U16" s="24">
        <f t="shared" si="4"/>
        <v>296.02247999999997</v>
      </c>
      <c r="V16" s="3">
        <f t="shared" si="5"/>
        <v>6</v>
      </c>
      <c r="W16" s="3">
        <f t="shared" si="5"/>
        <v>2.4000000000000004</v>
      </c>
      <c r="X16" s="3"/>
      <c r="Y16" s="3"/>
      <c r="Z16" s="3"/>
      <c r="AA16" s="3"/>
      <c r="AB16" s="14"/>
      <c r="AC16" s="18">
        <f t="shared" si="6"/>
        <v>8.4</v>
      </c>
      <c r="AD16" s="24">
        <f t="shared" si="7"/>
        <v>287.62248</v>
      </c>
      <c r="AE16" s="5">
        <f t="shared" si="11"/>
        <v>36</v>
      </c>
      <c r="AF16" s="3"/>
      <c r="AG16" s="3"/>
      <c r="AH16" s="3"/>
      <c r="AI16" s="3"/>
      <c r="AJ16" s="14"/>
      <c r="AK16" s="18">
        <f t="shared" si="12"/>
        <v>36</v>
      </c>
      <c r="AL16" s="24">
        <f t="shared" si="8"/>
        <v>251.62248</v>
      </c>
      <c r="AM16" s="24">
        <f t="shared" si="9"/>
        <v>2324.6043599999998</v>
      </c>
      <c r="AQ16" s="24"/>
      <c r="AS16">
        <f>(親2!E16&lt;103)*1+AND(子1!C16&gt;=0,子1!C16&lt;15)*1+AND(子2!C16&gt;=0,子2!C16&lt;15)*1+AND(子3!C16&gt;=0,子3!C16&lt;15)*1+AND(子4!C16&gt;=0,子4!C16&lt;15)*1</f>
        <v>3</v>
      </c>
      <c r="AT16">
        <f>AND(子1!AC16&gt;0)*1+AND(子2!AC16&gt;0)*1+AND(子3!AC16&gt;0)*1+AND(子4!AC16&gt;0)*1</f>
        <v>2</v>
      </c>
      <c r="AU16" t="str">
        <f t="shared" si="13"/>
        <v>子2人以上</v>
      </c>
      <c r="AV16" s="1">
        <f>IF(D16,VLOOKUP(D16,年収と手取り!C:I,7,1),0)/9.1%</f>
        <v>494.7032967032967</v>
      </c>
    </row>
    <row r="17" spans="2:48" x14ac:dyDescent="0.25">
      <c r="B17" s="5">
        <f t="shared" si="14"/>
        <v>30</v>
      </c>
      <c r="C17" s="3">
        <f t="shared" si="15"/>
        <v>35</v>
      </c>
      <c r="D17" s="34">
        <f>IF(C17&gt;入力!$D$22,0,VLOOKUP(C17,賃金カーブ!R:T,3,0))</f>
        <v>498.81158167675022</v>
      </c>
      <c r="E17" s="3">
        <f>VLOOKUP(D17,年収と手取り!X:Y,2,1)</f>
        <v>380.44247999999999</v>
      </c>
      <c r="F17" s="3">
        <f>入力!$E$28</f>
        <v>0</v>
      </c>
      <c r="G17" s="3">
        <f>IF(C17=入力!D$22,入力!E$31,0)</f>
        <v>0</v>
      </c>
      <c r="H17" s="3">
        <f t="shared" si="0"/>
        <v>0</v>
      </c>
      <c r="I17" s="14">
        <f>IF(H17&gt;0,-年金の税金!$G$24/10000,0)</f>
        <v>0</v>
      </c>
      <c r="J17" s="24">
        <f t="shared" si="1"/>
        <v>380.44247999999999</v>
      </c>
      <c r="K17" s="5"/>
      <c r="L17" s="3"/>
      <c r="M17" s="3">
        <f t="shared" si="10"/>
        <v>35.640000000000008</v>
      </c>
      <c r="N17" s="3">
        <f t="shared" si="2"/>
        <v>13.200000000000001</v>
      </c>
      <c r="O17" s="3">
        <f t="shared" si="2"/>
        <v>6.6000000000000005</v>
      </c>
      <c r="P17" s="3">
        <f t="shared" si="2"/>
        <v>5.2800000000000011</v>
      </c>
      <c r="Q17" s="3">
        <f t="shared" si="2"/>
        <v>3.3000000000000003</v>
      </c>
      <c r="R17" s="3">
        <f>IF(C17&gt;65,0,IF(OR(AND(子1!C17&gt;=0,子1!C17&lt;=18),AND(子2!C17&gt;=0,子2!C17&lt;=18),AND(子3!C17&gt;=0,子3!C17&lt;=18),AND(子4!C17&gt;=0,子4!C17&lt;=18)),入力!$D$35,入力!$D$34)*12)</f>
        <v>12</v>
      </c>
      <c r="S17" s="14"/>
      <c r="T17" s="18">
        <f t="shared" si="3"/>
        <v>76.02000000000001</v>
      </c>
      <c r="U17" s="24">
        <f t="shared" si="4"/>
        <v>304.42247999999995</v>
      </c>
      <c r="V17" s="3">
        <f t="shared" si="5"/>
        <v>6</v>
      </c>
      <c r="W17" s="3">
        <f t="shared" si="5"/>
        <v>2.4000000000000004</v>
      </c>
      <c r="X17" s="3"/>
      <c r="Y17" s="3"/>
      <c r="Z17" s="3"/>
      <c r="AA17" s="3"/>
      <c r="AB17" s="14"/>
      <c r="AC17" s="18">
        <f t="shared" si="6"/>
        <v>8.4</v>
      </c>
      <c r="AD17" s="24">
        <f t="shared" si="7"/>
        <v>296.02247999999997</v>
      </c>
      <c r="AE17" s="5">
        <f t="shared" si="11"/>
        <v>36</v>
      </c>
      <c r="AF17" s="3"/>
      <c r="AG17" s="3"/>
      <c r="AH17" s="3"/>
      <c r="AI17" s="3"/>
      <c r="AJ17" s="14"/>
      <c r="AK17" s="18">
        <f t="shared" si="12"/>
        <v>36</v>
      </c>
      <c r="AL17" s="24">
        <f t="shared" si="8"/>
        <v>260.02247999999997</v>
      </c>
      <c r="AM17" s="24">
        <f t="shared" si="9"/>
        <v>2584.6268399999999</v>
      </c>
      <c r="AQ17" s="24"/>
      <c r="AS17">
        <f>(親2!E17&lt;103)*1+AND(子1!C17&gt;=0,子1!C17&lt;15)*1+AND(子2!C17&gt;=0,子2!C17&lt;15)*1+AND(子3!C17&gt;=0,子3!C17&lt;15)*1+AND(子4!C17&gt;=0,子4!C17&lt;15)*1</f>
        <v>3</v>
      </c>
      <c r="AT17">
        <f>AND(子1!AC17&gt;0)*1+AND(子2!AC17&gt;0)*1+AND(子3!AC17&gt;0)*1+AND(子4!AC17&gt;0)*1</f>
        <v>2</v>
      </c>
      <c r="AU17" t="str">
        <f t="shared" si="13"/>
        <v>子2人以上</v>
      </c>
      <c r="AV17" s="1">
        <f>IF(D17,VLOOKUP(D17,年収と手取り!C:I,7,1),0)/9.1%</f>
        <v>494.7032967032967</v>
      </c>
    </row>
    <row r="18" spans="2:48" x14ac:dyDescent="0.25">
      <c r="B18" s="5">
        <f t="shared" si="14"/>
        <v>31</v>
      </c>
      <c r="C18" s="3">
        <f t="shared" si="15"/>
        <v>36</v>
      </c>
      <c r="D18" s="34">
        <f>IF(C18&gt;入力!$D$22,0,VLOOKUP(C18,賃金カーブ!R:T,3,0))</f>
        <v>508.05627670446523</v>
      </c>
      <c r="E18" s="3">
        <f>VLOOKUP(D18,年収と手取り!X:Y,2,1)</f>
        <v>388.84248000000002</v>
      </c>
      <c r="F18" s="3">
        <f>入力!$E$28</f>
        <v>0</v>
      </c>
      <c r="G18" s="3">
        <f>IF(C18=入力!D$22,入力!E$31,0)</f>
        <v>0</v>
      </c>
      <c r="H18" s="3">
        <f t="shared" si="0"/>
        <v>0</v>
      </c>
      <c r="I18" s="14">
        <f>IF(H18&gt;0,-年金の税金!$G$24/10000,0)</f>
        <v>0</v>
      </c>
      <c r="J18" s="24">
        <f t="shared" si="1"/>
        <v>388.84248000000002</v>
      </c>
      <c r="K18" s="5"/>
      <c r="L18" s="3"/>
      <c r="M18" s="3">
        <f t="shared" si="10"/>
        <v>35.640000000000008</v>
      </c>
      <c r="N18" s="3">
        <f t="shared" si="2"/>
        <v>13.200000000000001</v>
      </c>
      <c r="O18" s="3">
        <f t="shared" si="2"/>
        <v>6.6000000000000005</v>
      </c>
      <c r="P18" s="3">
        <f t="shared" si="2"/>
        <v>5.2800000000000011</v>
      </c>
      <c r="Q18" s="3">
        <f t="shared" si="2"/>
        <v>3.3000000000000003</v>
      </c>
      <c r="R18" s="3">
        <f>IF(C18&gt;65,0,IF(OR(AND(子1!C18&gt;=0,子1!C18&lt;=18),AND(子2!C18&gt;=0,子2!C18&lt;=18),AND(子3!C18&gt;=0,子3!C18&lt;=18),AND(子4!C18&gt;=0,子4!C18&lt;=18)),入力!$D$35,入力!$D$34)*12)</f>
        <v>12</v>
      </c>
      <c r="S18" s="14"/>
      <c r="T18" s="18">
        <f t="shared" si="3"/>
        <v>76.02000000000001</v>
      </c>
      <c r="U18" s="24">
        <f t="shared" si="4"/>
        <v>312.82248000000004</v>
      </c>
      <c r="V18" s="3">
        <f t="shared" si="5"/>
        <v>6</v>
      </c>
      <c r="W18" s="3">
        <f t="shared" si="5"/>
        <v>2.4000000000000004</v>
      </c>
      <c r="X18" s="3"/>
      <c r="Y18" s="3"/>
      <c r="Z18" s="3"/>
      <c r="AA18" s="3"/>
      <c r="AB18" s="14"/>
      <c r="AC18" s="18">
        <f t="shared" si="6"/>
        <v>8.4</v>
      </c>
      <c r="AD18" s="24">
        <f t="shared" si="7"/>
        <v>304.42248000000006</v>
      </c>
      <c r="AE18" s="5">
        <f t="shared" si="11"/>
        <v>36</v>
      </c>
      <c r="AF18" s="3"/>
      <c r="AG18" s="3"/>
      <c r="AH18" s="3"/>
      <c r="AI18" s="3"/>
      <c r="AJ18" s="14"/>
      <c r="AK18" s="18">
        <f t="shared" si="12"/>
        <v>36</v>
      </c>
      <c r="AL18" s="24">
        <f t="shared" si="8"/>
        <v>268.42248000000006</v>
      </c>
      <c r="AM18" s="24">
        <f t="shared" si="9"/>
        <v>2853.0493200000001</v>
      </c>
      <c r="AQ18" s="24"/>
      <c r="AS18">
        <f>(親2!E18&lt;103)*1+AND(子1!C18&gt;=0,子1!C18&lt;15)*1+AND(子2!C18&gt;=0,子2!C18&lt;15)*1+AND(子3!C18&gt;=0,子3!C18&lt;15)*1+AND(子4!C18&gt;=0,子4!C18&lt;15)*1</f>
        <v>3</v>
      </c>
      <c r="AT18">
        <f>AND(子1!AC18&gt;0)*1+AND(子2!AC18&gt;0)*1+AND(子3!AC18&gt;0)*1+AND(子4!AC18&gt;0)*1</f>
        <v>2</v>
      </c>
      <c r="AU18" t="str">
        <f t="shared" si="13"/>
        <v>子2人以上</v>
      </c>
      <c r="AV18" s="1">
        <f>IF(D18,VLOOKUP(D18,年収と手取り!C:I,7,1),0)/9.1%</f>
        <v>494.7032967032967</v>
      </c>
    </row>
    <row r="19" spans="2:48" x14ac:dyDescent="0.25">
      <c r="B19" s="5">
        <f t="shared" si="14"/>
        <v>32</v>
      </c>
      <c r="C19" s="3">
        <f t="shared" si="15"/>
        <v>37</v>
      </c>
      <c r="D19" s="34">
        <f>IF(C19&gt;入力!$D$22,0,VLOOKUP(C19,賃金カーブ!R:T,3,0))</f>
        <v>517.47230774219861</v>
      </c>
      <c r="E19" s="3">
        <f>VLOOKUP(D19,年収と手取り!X:Y,2,1)</f>
        <v>392.86632000000003</v>
      </c>
      <c r="F19" s="3">
        <f>入力!$E$28</f>
        <v>0</v>
      </c>
      <c r="G19" s="3">
        <f>IF(C19=入力!D$22,入力!E$31,0)</f>
        <v>0</v>
      </c>
      <c r="H19" s="3">
        <f t="shared" si="0"/>
        <v>0</v>
      </c>
      <c r="I19" s="14">
        <f>IF(H19&gt;0,-年金の税金!$G$24/10000,0)</f>
        <v>0</v>
      </c>
      <c r="J19" s="24">
        <f t="shared" si="1"/>
        <v>392.86632000000003</v>
      </c>
      <c r="K19" s="5"/>
      <c r="L19" s="3"/>
      <c r="M19" s="3">
        <f t="shared" si="10"/>
        <v>35.640000000000008</v>
      </c>
      <c r="N19" s="3">
        <f t="shared" si="2"/>
        <v>13.200000000000001</v>
      </c>
      <c r="O19" s="3">
        <f t="shared" si="2"/>
        <v>6.6000000000000005</v>
      </c>
      <c r="P19" s="3">
        <f t="shared" si="2"/>
        <v>5.2800000000000011</v>
      </c>
      <c r="Q19" s="3">
        <f t="shared" si="2"/>
        <v>3.3000000000000003</v>
      </c>
      <c r="R19" s="3">
        <f>IF(C19&gt;65,0,IF(OR(AND(子1!C19&gt;=0,子1!C19&lt;=18),AND(子2!C19&gt;=0,子2!C19&lt;=18),AND(子3!C19&gt;=0,子3!C19&lt;=18),AND(子4!C19&gt;=0,子4!C19&lt;=18)),入力!$D$35,入力!$D$34)*12)</f>
        <v>12</v>
      </c>
      <c r="S19" s="14"/>
      <c r="T19" s="18">
        <f t="shared" si="3"/>
        <v>76.02000000000001</v>
      </c>
      <c r="U19" s="24">
        <f t="shared" si="4"/>
        <v>316.84631999999999</v>
      </c>
      <c r="V19" s="3">
        <f t="shared" si="5"/>
        <v>6</v>
      </c>
      <c r="W19" s="3">
        <f t="shared" si="5"/>
        <v>2.4000000000000004</v>
      </c>
      <c r="X19" s="3"/>
      <c r="Y19" s="3"/>
      <c r="Z19" s="3"/>
      <c r="AA19" s="3"/>
      <c r="AB19" s="14"/>
      <c r="AC19" s="18">
        <f t="shared" si="6"/>
        <v>8.4</v>
      </c>
      <c r="AD19" s="24">
        <f t="shared" si="7"/>
        <v>308.44632000000001</v>
      </c>
      <c r="AE19" s="5">
        <f t="shared" si="11"/>
        <v>36</v>
      </c>
      <c r="AF19" s="3"/>
      <c r="AG19" s="3"/>
      <c r="AH19" s="3"/>
      <c r="AI19" s="3"/>
      <c r="AJ19" s="14"/>
      <c r="AK19" s="18">
        <f t="shared" si="12"/>
        <v>36</v>
      </c>
      <c r="AL19" s="24">
        <f t="shared" si="8"/>
        <v>272.44632000000001</v>
      </c>
      <c r="AM19" s="24">
        <f t="shared" si="9"/>
        <v>3125.4956400000001</v>
      </c>
      <c r="AQ19" s="24"/>
      <c r="AS19">
        <f>(親2!E19&lt;103)*1+AND(子1!C19&gt;=0,子1!C19&lt;15)*1+AND(子2!C19&gt;=0,子2!C19&lt;15)*1+AND(子3!C19&gt;=0,子3!C19&lt;15)*1+AND(子4!C19&gt;=0,子4!C19&lt;15)*1</f>
        <v>3</v>
      </c>
      <c r="AT19">
        <f>AND(子1!AC19&gt;0)*1+AND(子2!AC19&gt;0)*1+AND(子3!AC19&gt;0)*1+AND(子4!AC19&gt;0)*1</f>
        <v>2</v>
      </c>
      <c r="AU19" t="str">
        <f t="shared" si="13"/>
        <v>子2人以上</v>
      </c>
      <c r="AV19" s="1">
        <f>IF(D19,VLOOKUP(D19,年収と手取り!C:I,7,1),0)/9.1%</f>
        <v>530.90109890109886</v>
      </c>
    </row>
    <row r="20" spans="2:48" x14ac:dyDescent="0.25">
      <c r="B20" s="5">
        <f t="shared" si="14"/>
        <v>33</v>
      </c>
      <c r="C20" s="3">
        <f t="shared" si="15"/>
        <v>38</v>
      </c>
      <c r="D20" s="34">
        <f>IF(C20&gt;入力!$D$22,0,VLOOKUP(C20,賃金カーブ!R:T,3,0))</f>
        <v>527.06285023578619</v>
      </c>
      <c r="E20" s="3">
        <f>VLOOKUP(D20,年収と手取り!X:Y,2,1)</f>
        <v>401.26632000000001</v>
      </c>
      <c r="F20" s="3">
        <f>入力!$E$28</f>
        <v>0</v>
      </c>
      <c r="G20" s="3">
        <f>IF(C20=入力!D$22,入力!E$31,0)</f>
        <v>0</v>
      </c>
      <c r="H20" s="3">
        <f t="shared" si="0"/>
        <v>0</v>
      </c>
      <c r="I20" s="14">
        <f>IF(H20&gt;0,-年金の税金!$G$24/10000,0)</f>
        <v>0</v>
      </c>
      <c r="J20" s="24">
        <f t="shared" si="1"/>
        <v>401.26632000000001</v>
      </c>
      <c r="K20" s="5"/>
      <c r="L20" s="3"/>
      <c r="M20" s="3">
        <f t="shared" si="10"/>
        <v>35.640000000000008</v>
      </c>
      <c r="N20" s="3">
        <f t="shared" si="2"/>
        <v>13.200000000000001</v>
      </c>
      <c r="O20" s="3">
        <f t="shared" si="2"/>
        <v>6.6000000000000005</v>
      </c>
      <c r="P20" s="3">
        <f t="shared" si="2"/>
        <v>5.2800000000000011</v>
      </c>
      <c r="Q20" s="3">
        <f t="shared" si="2"/>
        <v>3.3000000000000003</v>
      </c>
      <c r="R20" s="3">
        <f>IF(C20&gt;65,0,IF(OR(AND(子1!C20&gt;=0,子1!C20&lt;=18),AND(子2!C20&gt;=0,子2!C20&lt;=18),AND(子3!C20&gt;=0,子3!C20&lt;=18),AND(子4!C20&gt;=0,子4!C20&lt;=18)),入力!$D$35,入力!$D$34)*12)</f>
        <v>12</v>
      </c>
      <c r="S20" s="14"/>
      <c r="T20" s="18">
        <f t="shared" si="3"/>
        <v>76.02000000000001</v>
      </c>
      <c r="U20" s="24">
        <f t="shared" si="4"/>
        <v>325.24631999999997</v>
      </c>
      <c r="V20" s="3">
        <f t="shared" si="5"/>
        <v>6</v>
      </c>
      <c r="W20" s="3">
        <f t="shared" si="5"/>
        <v>2.4000000000000004</v>
      </c>
      <c r="X20" s="3"/>
      <c r="Y20" s="3"/>
      <c r="Z20" s="3"/>
      <c r="AA20" s="3"/>
      <c r="AB20" s="14"/>
      <c r="AC20" s="18">
        <f t="shared" si="6"/>
        <v>8.4</v>
      </c>
      <c r="AD20" s="24">
        <f t="shared" si="7"/>
        <v>316.84631999999999</v>
      </c>
      <c r="AE20" s="5">
        <f t="shared" si="11"/>
        <v>36</v>
      </c>
      <c r="AF20" s="3"/>
      <c r="AG20" s="3"/>
      <c r="AH20" s="3"/>
      <c r="AI20" s="3"/>
      <c r="AJ20" s="14"/>
      <c r="AK20" s="18">
        <f t="shared" si="12"/>
        <v>36</v>
      </c>
      <c r="AL20" s="24">
        <f t="shared" si="8"/>
        <v>280.84631999999999</v>
      </c>
      <c r="AM20" s="24">
        <f t="shared" si="9"/>
        <v>3406.3419600000002</v>
      </c>
      <c r="AQ20" s="24"/>
      <c r="AS20">
        <f>(親2!E20&lt;103)*1+AND(子1!C20&gt;=0,子1!C20&lt;15)*1+AND(子2!C20&gt;=0,子2!C20&lt;15)*1+AND(子3!C20&gt;=0,子3!C20&lt;15)*1+AND(子4!C20&gt;=0,子4!C20&lt;15)*1</f>
        <v>3</v>
      </c>
      <c r="AT20">
        <f>AND(子1!AC20&gt;0)*1+AND(子2!AC20&gt;0)*1+AND(子3!AC20&gt;0)*1+AND(子4!AC20&gt;0)*1</f>
        <v>2</v>
      </c>
      <c r="AU20" t="str">
        <f t="shared" si="13"/>
        <v>子2人以上</v>
      </c>
      <c r="AV20" s="1">
        <f>IF(D20,VLOOKUP(D20,年収と手取り!C:I,7,1),0)/9.1%</f>
        <v>530.90109890109886</v>
      </c>
    </row>
    <row r="21" spans="2:48" x14ac:dyDescent="0.25">
      <c r="B21" s="5">
        <f t="shared" si="14"/>
        <v>34</v>
      </c>
      <c r="C21" s="3">
        <f t="shared" si="15"/>
        <v>39</v>
      </c>
      <c r="D21" s="34">
        <f>IF(C21&gt;入力!$D$22,0,VLOOKUP(C21,賃金カーブ!R:T,3,0))</f>
        <v>536.83113848300195</v>
      </c>
      <c r="E21" s="3">
        <f>VLOOKUP(D21,年収と手取り!X:Y,2,1)</f>
        <v>409.66631999999998</v>
      </c>
      <c r="F21" s="3">
        <f>入力!$E$28</f>
        <v>0</v>
      </c>
      <c r="G21" s="3">
        <f>IF(C21=入力!D$22,入力!E$31,0)</f>
        <v>0</v>
      </c>
      <c r="H21" s="3">
        <f t="shared" si="0"/>
        <v>0</v>
      </c>
      <c r="I21" s="14">
        <f>IF(H21&gt;0,-年金の税金!$G$24/10000,0)</f>
        <v>0</v>
      </c>
      <c r="J21" s="24">
        <f t="shared" si="1"/>
        <v>409.66631999999998</v>
      </c>
      <c r="K21" s="5"/>
      <c r="L21" s="3"/>
      <c r="M21" s="3">
        <f t="shared" si="10"/>
        <v>35.640000000000008</v>
      </c>
      <c r="N21" s="3">
        <f t="shared" si="2"/>
        <v>13.200000000000001</v>
      </c>
      <c r="O21" s="3">
        <f t="shared" si="2"/>
        <v>6.6000000000000005</v>
      </c>
      <c r="P21" s="3">
        <f t="shared" si="2"/>
        <v>5.2800000000000011</v>
      </c>
      <c r="Q21" s="3">
        <f t="shared" si="2"/>
        <v>3.3000000000000003</v>
      </c>
      <c r="R21" s="3">
        <f>IF(C21&gt;65,0,IF(OR(AND(子1!C21&gt;=0,子1!C21&lt;=18),AND(子2!C21&gt;=0,子2!C21&lt;=18),AND(子3!C21&gt;=0,子3!C21&lt;=18),AND(子4!C21&gt;=0,子4!C21&lt;=18)),入力!$D$35,入力!$D$34)*12)</f>
        <v>12</v>
      </c>
      <c r="S21" s="14"/>
      <c r="T21" s="18">
        <f t="shared" si="3"/>
        <v>76.02000000000001</v>
      </c>
      <c r="U21" s="24">
        <f t="shared" si="4"/>
        <v>333.64631999999995</v>
      </c>
      <c r="V21" s="3">
        <f t="shared" si="5"/>
        <v>6</v>
      </c>
      <c r="W21" s="3">
        <f t="shared" si="5"/>
        <v>2.4000000000000004</v>
      </c>
      <c r="X21" s="3"/>
      <c r="Y21" s="3"/>
      <c r="Z21" s="3"/>
      <c r="AA21" s="3"/>
      <c r="AB21" s="14"/>
      <c r="AC21" s="18">
        <f t="shared" si="6"/>
        <v>8.4</v>
      </c>
      <c r="AD21" s="24">
        <f t="shared" si="7"/>
        <v>325.24631999999997</v>
      </c>
      <c r="AE21" s="5">
        <f t="shared" si="11"/>
        <v>36</v>
      </c>
      <c r="AF21" s="3"/>
      <c r="AG21" s="3"/>
      <c r="AH21" s="3"/>
      <c r="AI21" s="3"/>
      <c r="AJ21" s="14"/>
      <c r="AK21" s="18">
        <f t="shared" si="12"/>
        <v>36</v>
      </c>
      <c r="AL21" s="24">
        <f t="shared" si="8"/>
        <v>289.24631999999997</v>
      </c>
      <c r="AM21" s="24">
        <f t="shared" si="9"/>
        <v>3695.5882799999999</v>
      </c>
      <c r="AQ21" s="24"/>
      <c r="AS21">
        <f>(親2!E21&lt;103)*1+AND(子1!C21&gt;=0,子1!C21&lt;15)*1+AND(子2!C21&gt;=0,子2!C21&lt;15)*1+AND(子3!C21&gt;=0,子3!C21&lt;15)*1+AND(子4!C21&gt;=0,子4!C21&lt;15)*1</f>
        <v>3</v>
      </c>
      <c r="AT21">
        <f>AND(子1!AC21&gt;0)*1+AND(子2!AC21&gt;0)*1+AND(子3!AC21&gt;0)*1+AND(子4!AC21&gt;0)*1</f>
        <v>2</v>
      </c>
      <c r="AU21" t="str">
        <f t="shared" si="13"/>
        <v>子2人以上</v>
      </c>
      <c r="AV21" s="1">
        <f>IF(D21,VLOOKUP(D21,年収と手取り!C:I,7,1),0)/9.1%</f>
        <v>530.90109890109886</v>
      </c>
    </row>
    <row r="22" spans="2:48" x14ac:dyDescent="0.25">
      <c r="B22" s="5">
        <f t="shared" si="14"/>
        <v>35</v>
      </c>
      <c r="C22" s="3">
        <f t="shared" si="15"/>
        <v>40</v>
      </c>
      <c r="D22" s="34">
        <f>IF(C22&gt;入力!$D$22,0,VLOOKUP(C22,賃金カーブ!R:T,3,0))</f>
        <v>546.78046672428684</v>
      </c>
      <c r="E22" s="3">
        <f>VLOOKUP(D22,年収と手取り!X:Y,2,1)</f>
        <v>418.06632000000002</v>
      </c>
      <c r="F22" s="3">
        <f>入力!$E$28</f>
        <v>0</v>
      </c>
      <c r="G22" s="3">
        <f>IF(C22=入力!D$22,入力!E$31,0)</f>
        <v>0</v>
      </c>
      <c r="H22" s="3">
        <f t="shared" si="0"/>
        <v>0</v>
      </c>
      <c r="I22" s="14">
        <f>IF(H22&gt;0,-年金の税金!$G$24/10000,0)</f>
        <v>0</v>
      </c>
      <c r="J22" s="24">
        <f t="shared" si="1"/>
        <v>418.06632000000002</v>
      </c>
      <c r="K22" s="5"/>
      <c r="L22" s="3"/>
      <c r="M22" s="3">
        <f t="shared" si="10"/>
        <v>35.640000000000008</v>
      </c>
      <c r="N22" s="3">
        <f t="shared" si="2"/>
        <v>13.200000000000001</v>
      </c>
      <c r="O22" s="3">
        <f t="shared" si="2"/>
        <v>6.6000000000000005</v>
      </c>
      <c r="P22" s="3">
        <f t="shared" si="2"/>
        <v>5.2800000000000011</v>
      </c>
      <c r="Q22" s="3">
        <f t="shared" si="2"/>
        <v>3.3000000000000003</v>
      </c>
      <c r="R22" s="3">
        <f>IF(C22&gt;65,0,IF(OR(AND(子1!C22&gt;=0,子1!C22&lt;=18),AND(子2!C22&gt;=0,子2!C22&lt;=18),AND(子3!C22&gt;=0,子3!C22&lt;=18),AND(子4!C22&gt;=0,子4!C22&lt;=18)),入力!$D$35,入力!$D$34)*12)</f>
        <v>12</v>
      </c>
      <c r="S22" s="14"/>
      <c r="T22" s="18">
        <f t="shared" si="3"/>
        <v>76.02000000000001</v>
      </c>
      <c r="U22" s="24">
        <f t="shared" si="4"/>
        <v>342.04632000000004</v>
      </c>
      <c r="V22" s="3">
        <f t="shared" si="5"/>
        <v>6</v>
      </c>
      <c r="W22" s="3">
        <f t="shared" si="5"/>
        <v>2.4000000000000004</v>
      </c>
      <c r="X22" s="3"/>
      <c r="Y22" s="3"/>
      <c r="Z22" s="3"/>
      <c r="AA22" s="3"/>
      <c r="AB22" s="14"/>
      <c r="AC22" s="18">
        <f t="shared" si="6"/>
        <v>8.4</v>
      </c>
      <c r="AD22" s="24">
        <f t="shared" si="7"/>
        <v>333.64632000000006</v>
      </c>
      <c r="AE22" s="5">
        <f t="shared" si="11"/>
        <v>36</v>
      </c>
      <c r="AF22" s="3"/>
      <c r="AG22" s="3"/>
      <c r="AH22" s="3"/>
      <c r="AI22" s="3"/>
      <c r="AJ22" s="14"/>
      <c r="AK22" s="18">
        <f t="shared" si="12"/>
        <v>36</v>
      </c>
      <c r="AL22" s="24">
        <f t="shared" si="8"/>
        <v>297.64632000000006</v>
      </c>
      <c r="AM22" s="24">
        <f t="shared" si="9"/>
        <v>3993.2345999999998</v>
      </c>
      <c r="AQ22" s="24"/>
      <c r="AS22">
        <f>(親2!E22&lt;103)*1+AND(子1!C22&gt;=0,子1!C22&lt;15)*1+AND(子2!C22&gt;=0,子2!C22&lt;15)*1+AND(子3!C22&gt;=0,子3!C22&lt;15)*1+AND(子4!C22&gt;=0,子4!C22&lt;15)*1</f>
        <v>3</v>
      </c>
      <c r="AT22">
        <f>AND(子1!AC22&gt;0)*1+AND(子2!AC22&gt;0)*1+AND(子3!AC22&gt;0)*1+AND(子4!AC22&gt;0)*1</f>
        <v>2</v>
      </c>
      <c r="AU22" t="str">
        <f t="shared" si="13"/>
        <v>子2人以上</v>
      </c>
      <c r="AV22" s="1">
        <f>IF(D22,VLOOKUP(D22,年収と手取り!C:I,7,1),0)/9.1%</f>
        <v>530.90109890109886</v>
      </c>
    </row>
    <row r="23" spans="2:48" x14ac:dyDescent="0.25">
      <c r="B23" s="5">
        <f t="shared" si="14"/>
        <v>36</v>
      </c>
      <c r="C23" s="3">
        <f t="shared" si="15"/>
        <v>41</v>
      </c>
      <c r="D23" s="34">
        <f>IF(C23&gt;入力!$D$22,0,VLOOKUP(C23,賃金カーブ!R:T,3,0))</f>
        <v>555.69017209107403</v>
      </c>
      <c r="E23" s="3">
        <f>VLOOKUP(D23,年収と手取り!X:Y,2,1)</f>
        <v>422.09016000000003</v>
      </c>
      <c r="F23" s="3">
        <f>入力!$E$28</f>
        <v>0</v>
      </c>
      <c r="G23" s="3">
        <f>IF(C23=入力!D$22,入力!E$31,0)</f>
        <v>0</v>
      </c>
      <c r="H23" s="3">
        <f t="shared" si="0"/>
        <v>0</v>
      </c>
      <c r="I23" s="14">
        <f>IF(H23&gt;0,-年金の税金!$G$24/10000,0)</f>
        <v>0</v>
      </c>
      <c r="J23" s="24">
        <f t="shared" si="1"/>
        <v>422.09016000000003</v>
      </c>
      <c r="K23" s="5"/>
      <c r="L23" s="3"/>
      <c r="M23" s="3">
        <f t="shared" ref="M23:Q38" si="16">M$1</f>
        <v>35.640000000000008</v>
      </c>
      <c r="N23" s="3">
        <f t="shared" si="2"/>
        <v>13.200000000000001</v>
      </c>
      <c r="O23" s="3">
        <f t="shared" si="2"/>
        <v>6.6000000000000005</v>
      </c>
      <c r="P23" s="3">
        <f t="shared" si="2"/>
        <v>5.2800000000000011</v>
      </c>
      <c r="Q23" s="3">
        <f t="shared" si="2"/>
        <v>3.3000000000000003</v>
      </c>
      <c r="R23" s="3">
        <f>IF(C23&gt;65,0,IF(OR(AND(子1!C23&gt;=0,子1!C23&lt;=18),AND(子2!C23&gt;=0,子2!C23&lt;=18),AND(子3!C23&gt;=0,子3!C23&lt;=18),AND(子4!C23&gt;=0,子4!C23&lt;=18)),入力!$D$35,入力!$D$34)*12)</f>
        <v>12</v>
      </c>
      <c r="S23" s="14"/>
      <c r="T23" s="18">
        <f t="shared" si="3"/>
        <v>76.02000000000001</v>
      </c>
      <c r="U23" s="24">
        <f t="shared" si="4"/>
        <v>346.07015999999999</v>
      </c>
      <c r="V23" s="3">
        <f t="shared" si="5"/>
        <v>6</v>
      </c>
      <c r="W23" s="3">
        <f t="shared" si="5"/>
        <v>2.4000000000000004</v>
      </c>
      <c r="X23" s="3"/>
      <c r="Y23" s="3"/>
      <c r="Z23" s="3"/>
      <c r="AA23" s="3"/>
      <c r="AB23" s="14"/>
      <c r="AC23" s="18">
        <f t="shared" si="6"/>
        <v>8.4</v>
      </c>
      <c r="AD23" s="24">
        <f t="shared" si="7"/>
        <v>337.67016000000001</v>
      </c>
      <c r="AE23" s="5">
        <f t="shared" si="11"/>
        <v>36</v>
      </c>
      <c r="AF23" s="3"/>
      <c r="AG23" s="3"/>
      <c r="AH23" s="3"/>
      <c r="AI23" s="3"/>
      <c r="AJ23" s="14"/>
      <c r="AK23" s="18">
        <f t="shared" si="12"/>
        <v>36</v>
      </c>
      <c r="AL23" s="24">
        <f t="shared" si="8"/>
        <v>301.67016000000001</v>
      </c>
      <c r="AM23" s="24">
        <f t="shared" si="9"/>
        <v>4294.9047599999994</v>
      </c>
      <c r="AQ23" s="24"/>
      <c r="AS23">
        <f>(親2!E23&lt;103)*1+AND(子1!C23&gt;=0,子1!C23&lt;15)*1+AND(子2!C23&gt;=0,子2!C23&lt;15)*1+AND(子3!C23&gt;=0,子3!C23&lt;15)*1+AND(子4!C23&gt;=0,子4!C23&lt;15)*1</f>
        <v>3</v>
      </c>
      <c r="AT23">
        <f>AND(子1!AC23&gt;0)*1+AND(子2!AC23&gt;0)*1+AND(子3!AC23&gt;0)*1+AND(子4!AC23&gt;0)*1</f>
        <v>2</v>
      </c>
      <c r="AU23" t="str">
        <f t="shared" si="13"/>
        <v>子2人以上</v>
      </c>
      <c r="AV23" s="1">
        <f>IF(D23,VLOOKUP(D23,年収と手取り!C:I,7,1),0)/9.1%</f>
        <v>567.09890109890102</v>
      </c>
    </row>
    <row r="24" spans="2:48" x14ac:dyDescent="0.25">
      <c r="B24" s="5">
        <f t="shared" si="14"/>
        <v>37</v>
      </c>
      <c r="C24" s="3">
        <f t="shared" si="15"/>
        <v>42</v>
      </c>
      <c r="D24" s="34">
        <f>IF(C24&gt;入力!$D$22,0,VLOOKUP(C24,賃金カーブ!R:T,3,0))</f>
        <v>564.74505976511989</v>
      </c>
      <c r="E24" s="3">
        <f>VLOOKUP(D24,年収と手取り!X:Y,2,1)</f>
        <v>430.49016</v>
      </c>
      <c r="F24" s="3">
        <f>入力!$E$28</f>
        <v>0</v>
      </c>
      <c r="G24" s="3">
        <f>IF(C24=入力!D$22,入力!E$31,0)</f>
        <v>0</v>
      </c>
      <c r="H24" s="3">
        <f t="shared" si="0"/>
        <v>0</v>
      </c>
      <c r="I24" s="14">
        <f>IF(H24&gt;0,-年金の税金!$G$24/10000,0)</f>
        <v>0</v>
      </c>
      <c r="J24" s="24">
        <f t="shared" si="1"/>
        <v>430.49016</v>
      </c>
      <c r="K24" s="5"/>
      <c r="L24" s="3"/>
      <c r="M24" s="3">
        <f t="shared" si="16"/>
        <v>35.640000000000008</v>
      </c>
      <c r="N24" s="3">
        <f t="shared" si="2"/>
        <v>13.200000000000001</v>
      </c>
      <c r="O24" s="3">
        <f t="shared" si="2"/>
        <v>6.6000000000000005</v>
      </c>
      <c r="P24" s="3">
        <f t="shared" si="2"/>
        <v>5.2800000000000011</v>
      </c>
      <c r="Q24" s="3">
        <f t="shared" si="2"/>
        <v>3.3000000000000003</v>
      </c>
      <c r="R24" s="3">
        <f>IF(C24&gt;65,0,IF(OR(AND(子1!C24&gt;=0,子1!C24&lt;=18),AND(子2!C24&gt;=0,子2!C24&lt;=18),AND(子3!C24&gt;=0,子3!C24&lt;=18),AND(子4!C24&gt;=0,子4!C24&lt;=18)),入力!$D$35,入力!$D$34)*12)</f>
        <v>12</v>
      </c>
      <c r="S24" s="14"/>
      <c r="T24" s="18">
        <f t="shared" si="3"/>
        <v>76.02000000000001</v>
      </c>
      <c r="U24" s="24">
        <f t="shared" si="4"/>
        <v>354.47015999999996</v>
      </c>
      <c r="V24" s="3">
        <f t="shared" si="5"/>
        <v>6</v>
      </c>
      <c r="W24" s="3">
        <f t="shared" si="5"/>
        <v>2.4000000000000004</v>
      </c>
      <c r="X24" s="3"/>
      <c r="Y24" s="3"/>
      <c r="Z24" s="3"/>
      <c r="AA24" s="3"/>
      <c r="AB24" s="14"/>
      <c r="AC24" s="18">
        <f t="shared" si="6"/>
        <v>8.4</v>
      </c>
      <c r="AD24" s="24">
        <f t="shared" si="7"/>
        <v>346.07015999999999</v>
      </c>
      <c r="AE24" s="5">
        <f t="shared" si="11"/>
        <v>36</v>
      </c>
      <c r="AF24" s="3"/>
      <c r="AG24" s="3"/>
      <c r="AH24" s="3"/>
      <c r="AI24" s="3"/>
      <c r="AJ24" s="14"/>
      <c r="AK24" s="18">
        <f t="shared" si="12"/>
        <v>36</v>
      </c>
      <c r="AL24" s="24">
        <f t="shared" si="8"/>
        <v>310.07015999999999</v>
      </c>
      <c r="AM24" s="24">
        <f t="shared" si="9"/>
        <v>4604.9749199999997</v>
      </c>
      <c r="AQ24" s="24"/>
      <c r="AS24">
        <f>(親2!E24&lt;103)*1+AND(子1!C24&gt;=0,子1!C24&lt;15)*1+AND(子2!C24&gt;=0,子2!C24&lt;15)*1+AND(子3!C24&gt;=0,子3!C24&lt;15)*1+AND(子4!C24&gt;=0,子4!C24&lt;15)*1</f>
        <v>2</v>
      </c>
      <c r="AT24">
        <f>AND(子1!AC24&gt;0)*1+AND(子2!AC24&gt;0)*1+AND(子3!AC24&gt;0)*1+AND(子4!AC24&gt;0)*1</f>
        <v>2</v>
      </c>
      <c r="AU24" t="str">
        <f t="shared" si="13"/>
        <v>子2人以上</v>
      </c>
      <c r="AV24" s="1">
        <f>IF(D24,VLOOKUP(D24,年収と手取り!C:I,7,1),0)/9.1%</f>
        <v>567.09890109890102</v>
      </c>
    </row>
    <row r="25" spans="2:48" x14ac:dyDescent="0.25">
      <c r="B25" s="5">
        <f t="shared" si="14"/>
        <v>38</v>
      </c>
      <c r="C25" s="3">
        <f t="shared" si="15"/>
        <v>43</v>
      </c>
      <c r="D25" s="34">
        <f>IF(C25&gt;入力!$D$22,0,VLOOKUP(C25,賃金カーブ!R:T,3,0))</f>
        <v>573.94749547025833</v>
      </c>
      <c r="E25" s="3">
        <f>VLOOKUP(D25,年収と手取り!X:Y,2,1)</f>
        <v>438.89016000000004</v>
      </c>
      <c r="F25" s="3">
        <f>入力!$E$28</f>
        <v>0</v>
      </c>
      <c r="G25" s="3">
        <f>IF(C25=入力!D$22,入力!E$31,0)</f>
        <v>0</v>
      </c>
      <c r="H25" s="3">
        <f t="shared" si="0"/>
        <v>0</v>
      </c>
      <c r="I25" s="14">
        <f>IF(H25&gt;0,-年金の税金!$G$24/10000,0)</f>
        <v>0</v>
      </c>
      <c r="J25" s="24">
        <f t="shared" si="1"/>
        <v>438.89016000000004</v>
      </c>
      <c r="K25" s="5"/>
      <c r="L25" s="3"/>
      <c r="M25" s="3">
        <f t="shared" si="16"/>
        <v>35.640000000000008</v>
      </c>
      <c r="N25" s="3">
        <f t="shared" si="2"/>
        <v>13.200000000000001</v>
      </c>
      <c r="O25" s="3">
        <f t="shared" si="2"/>
        <v>6.6000000000000005</v>
      </c>
      <c r="P25" s="3">
        <f t="shared" si="2"/>
        <v>5.2800000000000011</v>
      </c>
      <c r="Q25" s="3">
        <f t="shared" si="2"/>
        <v>3.3000000000000003</v>
      </c>
      <c r="R25" s="3">
        <f>IF(C25&gt;65,0,IF(OR(AND(子1!C25&gt;=0,子1!C25&lt;=18),AND(子2!C25&gt;=0,子2!C25&lt;=18),AND(子3!C25&gt;=0,子3!C25&lt;=18),AND(子4!C25&gt;=0,子4!C25&lt;=18)),入力!$D$35,入力!$D$34)*12)</f>
        <v>12</v>
      </c>
      <c r="S25" s="14"/>
      <c r="T25" s="18">
        <f t="shared" si="3"/>
        <v>76.02000000000001</v>
      </c>
      <c r="U25" s="24">
        <f t="shared" si="4"/>
        <v>362.87016000000006</v>
      </c>
      <c r="V25" s="3">
        <f t="shared" si="5"/>
        <v>6</v>
      </c>
      <c r="W25" s="3">
        <f t="shared" si="5"/>
        <v>2.4000000000000004</v>
      </c>
      <c r="X25" s="3"/>
      <c r="Y25" s="3"/>
      <c r="Z25" s="3"/>
      <c r="AA25" s="3"/>
      <c r="AB25" s="14"/>
      <c r="AC25" s="18">
        <f t="shared" si="6"/>
        <v>8.4</v>
      </c>
      <c r="AD25" s="24">
        <f t="shared" si="7"/>
        <v>354.47016000000008</v>
      </c>
      <c r="AE25" s="5">
        <f t="shared" si="11"/>
        <v>36</v>
      </c>
      <c r="AF25" s="3"/>
      <c r="AG25" s="3"/>
      <c r="AH25" s="3"/>
      <c r="AI25" s="3"/>
      <c r="AJ25" s="14"/>
      <c r="AK25" s="18">
        <f t="shared" si="12"/>
        <v>36</v>
      </c>
      <c r="AL25" s="24">
        <f t="shared" si="8"/>
        <v>318.47016000000008</v>
      </c>
      <c r="AM25" s="24">
        <f t="shared" si="9"/>
        <v>4923.4450799999995</v>
      </c>
      <c r="AQ25" s="24"/>
      <c r="AS25">
        <f>(親2!E25&lt;103)*1+AND(子1!C25&gt;=0,子1!C25&lt;15)*1+AND(子2!C25&gt;=0,子2!C25&lt;15)*1+AND(子3!C25&gt;=0,子3!C25&lt;15)*1+AND(子4!C25&gt;=0,子4!C25&lt;15)*1</f>
        <v>1</v>
      </c>
      <c r="AT25">
        <f>AND(子1!AC25&gt;0)*1+AND(子2!AC25&gt;0)*1+AND(子3!AC25&gt;0)*1+AND(子4!AC25&gt;0)*1</f>
        <v>2</v>
      </c>
      <c r="AU25" t="str">
        <f t="shared" si="13"/>
        <v>子2人以上</v>
      </c>
      <c r="AV25" s="1">
        <f>IF(D25,VLOOKUP(D25,年収と手取り!C:I,7,1),0)/9.1%</f>
        <v>567.09890109890102</v>
      </c>
    </row>
    <row r="26" spans="2:48" x14ac:dyDescent="0.25">
      <c r="B26" s="5">
        <f t="shared" si="14"/>
        <v>39</v>
      </c>
      <c r="C26" s="3">
        <f t="shared" si="15"/>
        <v>44</v>
      </c>
      <c r="D26" s="34">
        <f>IF(C26&gt;入力!$D$22,0,VLOOKUP(C26,賃金カーブ!R:T,3,0))</f>
        <v>583.29988347943709</v>
      </c>
      <c r="E26" s="3">
        <f>VLOOKUP(D26,年収と手取り!X:Y,2,1)</f>
        <v>447.29016000000001</v>
      </c>
      <c r="F26" s="3">
        <f>入力!$E$28</f>
        <v>0</v>
      </c>
      <c r="G26" s="3">
        <f>IF(C26=入力!D$22,入力!E$31,0)</f>
        <v>0</v>
      </c>
      <c r="H26" s="3">
        <f t="shared" si="0"/>
        <v>0</v>
      </c>
      <c r="I26" s="14">
        <f>IF(H26&gt;0,-年金の税金!$G$24/10000,0)</f>
        <v>0</v>
      </c>
      <c r="J26" s="24">
        <f t="shared" si="1"/>
        <v>447.29016000000001</v>
      </c>
      <c r="K26" s="5"/>
      <c r="L26" s="3"/>
      <c r="M26" s="3">
        <f t="shared" si="16"/>
        <v>35.640000000000008</v>
      </c>
      <c r="N26" s="3">
        <f t="shared" si="16"/>
        <v>13.200000000000001</v>
      </c>
      <c r="O26" s="3">
        <f t="shared" si="16"/>
        <v>6.6000000000000005</v>
      </c>
      <c r="P26" s="3">
        <f t="shared" si="16"/>
        <v>5.2800000000000011</v>
      </c>
      <c r="Q26" s="3">
        <f t="shared" si="16"/>
        <v>3.3000000000000003</v>
      </c>
      <c r="R26" s="3">
        <f>IF(C26&gt;65,0,IF(OR(AND(子1!C26&gt;=0,子1!C26&lt;=18),AND(子2!C26&gt;=0,子2!C26&lt;=18),AND(子3!C26&gt;=0,子3!C26&lt;=18),AND(子4!C26&gt;=0,子4!C26&lt;=18)),入力!$D$35,入力!$D$34)*12)</f>
        <v>12</v>
      </c>
      <c r="S26" s="14"/>
      <c r="T26" s="18">
        <f t="shared" si="3"/>
        <v>76.02000000000001</v>
      </c>
      <c r="U26" s="24">
        <f t="shared" si="4"/>
        <v>371.27016000000003</v>
      </c>
      <c r="V26" s="3">
        <f t="shared" si="5"/>
        <v>6</v>
      </c>
      <c r="W26" s="3">
        <f t="shared" si="5"/>
        <v>2.4000000000000004</v>
      </c>
      <c r="X26" s="3"/>
      <c r="Y26" s="3"/>
      <c r="Z26" s="3"/>
      <c r="AA26" s="3"/>
      <c r="AB26" s="14"/>
      <c r="AC26" s="18">
        <f t="shared" si="6"/>
        <v>8.4</v>
      </c>
      <c r="AD26" s="24">
        <f t="shared" si="7"/>
        <v>362.87016000000006</v>
      </c>
      <c r="AE26" s="5">
        <f t="shared" si="11"/>
        <v>36</v>
      </c>
      <c r="AF26" s="3"/>
      <c r="AG26" s="3"/>
      <c r="AH26" s="3"/>
      <c r="AI26" s="3"/>
      <c r="AJ26" s="14"/>
      <c r="AK26" s="18">
        <f t="shared" si="12"/>
        <v>36</v>
      </c>
      <c r="AL26" s="24">
        <f t="shared" si="8"/>
        <v>326.87016000000006</v>
      </c>
      <c r="AM26" s="24">
        <f t="shared" si="9"/>
        <v>5250.3152399999999</v>
      </c>
      <c r="AQ26" s="24"/>
      <c r="AS26">
        <f>(親2!E26&lt;103)*1+AND(子1!C26&gt;=0,子1!C26&lt;15)*1+AND(子2!C26&gt;=0,子2!C26&lt;15)*1+AND(子3!C26&gt;=0,子3!C26&lt;15)*1+AND(子4!C26&gt;=0,子4!C26&lt;15)*1</f>
        <v>1</v>
      </c>
      <c r="AT26">
        <f>AND(子1!AC26&gt;0)*1+AND(子2!AC26&gt;0)*1+AND(子3!AC26&gt;0)*1+AND(子4!AC26&gt;0)*1</f>
        <v>2</v>
      </c>
      <c r="AU26" t="str">
        <f t="shared" si="13"/>
        <v>子2人以上</v>
      </c>
      <c r="AV26" s="1">
        <f>IF(D26,VLOOKUP(D26,年収と手取り!C:I,7,1),0)/9.1%</f>
        <v>567.09890109890102</v>
      </c>
    </row>
    <row r="27" spans="2:48" x14ac:dyDescent="0.25">
      <c r="B27" s="5">
        <f t="shared" si="14"/>
        <v>40</v>
      </c>
      <c r="C27" s="3">
        <f t="shared" si="15"/>
        <v>45</v>
      </c>
      <c r="D27" s="34">
        <f>IF(C27&gt;入力!$D$22,0,VLOOKUP(C27,賃金カーブ!R:T,3,0))</f>
        <v>592.80466724286941</v>
      </c>
      <c r="E27" s="3">
        <f>VLOOKUP(D27,年収と手取り!X:Y,2,1)</f>
        <v>451.31399999999996</v>
      </c>
      <c r="F27" s="3">
        <f>入力!$E$28</f>
        <v>0</v>
      </c>
      <c r="G27" s="3">
        <f>IF(C27=入力!D$22,入力!E$31,0)</f>
        <v>0</v>
      </c>
      <c r="H27" s="3">
        <f t="shared" si="0"/>
        <v>0</v>
      </c>
      <c r="I27" s="14">
        <f>IF(H27&gt;0,-年金の税金!$G$24/10000,0)</f>
        <v>0</v>
      </c>
      <c r="J27" s="24">
        <f t="shared" si="1"/>
        <v>451.31399999999996</v>
      </c>
      <c r="K27" s="5"/>
      <c r="L27" s="3"/>
      <c r="M27" s="3">
        <f t="shared" si="16"/>
        <v>35.640000000000008</v>
      </c>
      <c r="N27" s="3">
        <f t="shared" si="16"/>
        <v>13.200000000000001</v>
      </c>
      <c r="O27" s="3">
        <f t="shared" si="16"/>
        <v>6.6000000000000005</v>
      </c>
      <c r="P27" s="3">
        <f t="shared" si="16"/>
        <v>5.2800000000000011</v>
      </c>
      <c r="Q27" s="3">
        <f t="shared" si="16"/>
        <v>3.3000000000000003</v>
      </c>
      <c r="R27" s="3">
        <f>IF(C27&gt;65,0,IF(OR(AND(子1!C27&gt;=0,子1!C27&lt;=18),AND(子2!C27&gt;=0,子2!C27&lt;=18),AND(子3!C27&gt;=0,子3!C27&lt;=18),AND(子4!C27&gt;=0,子4!C27&lt;=18)),入力!$D$35,入力!$D$34)*12)</f>
        <v>12</v>
      </c>
      <c r="S27" s="14"/>
      <c r="T27" s="18">
        <f t="shared" si="3"/>
        <v>76.02000000000001</v>
      </c>
      <c r="U27" s="24">
        <f t="shared" si="4"/>
        <v>375.29399999999998</v>
      </c>
      <c r="V27" s="3">
        <f t="shared" si="5"/>
        <v>6</v>
      </c>
      <c r="W27" s="3">
        <f t="shared" si="5"/>
        <v>2.4000000000000004</v>
      </c>
      <c r="X27" s="3"/>
      <c r="Y27" s="3"/>
      <c r="Z27" s="3"/>
      <c r="AA27" s="3"/>
      <c r="AB27" s="14"/>
      <c r="AC27" s="18">
        <f t="shared" si="6"/>
        <v>8.4</v>
      </c>
      <c r="AD27" s="24">
        <f t="shared" si="7"/>
        <v>366.89400000000001</v>
      </c>
      <c r="AE27" s="5">
        <f t="shared" si="11"/>
        <v>36</v>
      </c>
      <c r="AF27" s="3"/>
      <c r="AG27" s="3"/>
      <c r="AH27" s="3"/>
      <c r="AI27" s="3"/>
      <c r="AJ27" s="14"/>
      <c r="AK27" s="18">
        <f t="shared" si="12"/>
        <v>36</v>
      </c>
      <c r="AL27" s="24">
        <f t="shared" si="8"/>
        <v>330.89400000000001</v>
      </c>
      <c r="AM27" s="24">
        <f t="shared" si="9"/>
        <v>5581.2092400000001</v>
      </c>
      <c r="AQ27" s="24"/>
      <c r="AS27">
        <f>(親2!E27&lt;103)*1+AND(子1!C27&gt;=0,子1!C27&lt;15)*1+AND(子2!C27&gt;=0,子2!C27&lt;15)*1+AND(子3!C27&gt;=0,子3!C27&lt;15)*1+AND(子4!C27&gt;=0,子4!C27&lt;15)*1</f>
        <v>1</v>
      </c>
      <c r="AT27">
        <f>AND(子1!AC27&gt;0)*1+AND(子2!AC27&gt;0)*1+AND(子3!AC27&gt;0)*1+AND(子4!AC27&gt;0)*1</f>
        <v>2</v>
      </c>
      <c r="AU27" t="str">
        <f t="shared" si="13"/>
        <v>子2人以上</v>
      </c>
      <c r="AV27" s="1">
        <f>IF(D27,VLOOKUP(D27,年収と手取り!C:I,7,1),0)/9.1%</f>
        <v>603.29670329670341</v>
      </c>
    </row>
    <row r="28" spans="2:48" x14ac:dyDescent="0.25">
      <c r="B28" s="5">
        <f t="shared" si="14"/>
        <v>41</v>
      </c>
      <c r="C28" s="3">
        <f t="shared" si="15"/>
        <v>46</v>
      </c>
      <c r="D28" s="34">
        <f>IF(C28&gt;入力!$D$22,0,VLOOKUP(C28,賃金カーブ!R:T,3,0))</f>
        <v>602.58868895313367</v>
      </c>
      <c r="E28" s="3">
        <f>VLOOKUP(D28,年収と手取り!X:Y,2,1)</f>
        <v>459.714</v>
      </c>
      <c r="F28" s="3">
        <f>入力!$E$28</f>
        <v>0</v>
      </c>
      <c r="G28" s="3">
        <f>IF(C28=入力!D$22,入力!E$31,0)</f>
        <v>0</v>
      </c>
      <c r="H28" s="3">
        <f t="shared" si="0"/>
        <v>0</v>
      </c>
      <c r="I28" s="14">
        <f>IF(H28&gt;0,-年金の税金!$G$24/10000,0)</f>
        <v>0</v>
      </c>
      <c r="J28" s="24">
        <f t="shared" si="1"/>
        <v>459.714</v>
      </c>
      <c r="K28" s="5"/>
      <c r="L28" s="3"/>
      <c r="M28" s="3">
        <f t="shared" si="16"/>
        <v>35.640000000000008</v>
      </c>
      <c r="N28" s="3">
        <f t="shared" si="16"/>
        <v>13.200000000000001</v>
      </c>
      <c r="O28" s="3">
        <f t="shared" si="16"/>
        <v>6.6000000000000005</v>
      </c>
      <c r="P28" s="3">
        <f t="shared" si="16"/>
        <v>5.2800000000000011</v>
      </c>
      <c r="Q28" s="3">
        <f t="shared" si="16"/>
        <v>3.3000000000000003</v>
      </c>
      <c r="R28" s="3">
        <f>IF(C28&gt;65,0,IF(OR(AND(子1!C28&gt;=0,子1!C28&lt;=18),AND(子2!C28&gt;=0,子2!C28&lt;=18),AND(子3!C28&gt;=0,子3!C28&lt;=18),AND(子4!C28&gt;=0,子4!C28&lt;=18)),入力!$D$35,入力!$D$34)*12)</f>
        <v>12</v>
      </c>
      <c r="S28" s="14"/>
      <c r="T28" s="18">
        <f t="shared" si="3"/>
        <v>76.02000000000001</v>
      </c>
      <c r="U28" s="24">
        <f t="shared" si="4"/>
        <v>383.69399999999996</v>
      </c>
      <c r="V28" s="3">
        <f t="shared" si="5"/>
        <v>6</v>
      </c>
      <c r="W28" s="3">
        <f t="shared" si="5"/>
        <v>2.4000000000000004</v>
      </c>
      <c r="X28" s="3"/>
      <c r="Y28" s="3"/>
      <c r="Z28" s="3"/>
      <c r="AA28" s="3"/>
      <c r="AB28" s="14"/>
      <c r="AC28" s="18">
        <f t="shared" si="6"/>
        <v>8.4</v>
      </c>
      <c r="AD28" s="24">
        <f t="shared" si="7"/>
        <v>375.29399999999998</v>
      </c>
      <c r="AE28" s="5">
        <f t="shared" si="11"/>
        <v>36</v>
      </c>
      <c r="AF28" s="3"/>
      <c r="AG28" s="3"/>
      <c r="AH28" s="3"/>
      <c r="AI28" s="3"/>
      <c r="AJ28" s="14"/>
      <c r="AK28" s="18">
        <f t="shared" si="12"/>
        <v>36</v>
      </c>
      <c r="AL28" s="24">
        <f t="shared" si="8"/>
        <v>339.29399999999998</v>
      </c>
      <c r="AM28" s="24">
        <f t="shared" si="9"/>
        <v>5920.50324</v>
      </c>
      <c r="AQ28" s="24"/>
      <c r="AS28">
        <f>(親2!E28&lt;103)*1+AND(子1!C28&gt;=0,子1!C28&lt;15)*1+AND(子2!C28&gt;=0,子2!C28&lt;15)*1+AND(子3!C28&gt;=0,子3!C28&lt;15)*1+AND(子4!C28&gt;=0,子4!C28&lt;15)*1</f>
        <v>0</v>
      </c>
      <c r="AT28">
        <f>AND(子1!AC28&gt;0)*1+AND(子2!AC28&gt;0)*1+AND(子3!AC28&gt;0)*1+AND(子4!AC28&gt;0)*1</f>
        <v>2</v>
      </c>
      <c r="AU28" t="str">
        <f t="shared" si="13"/>
        <v>子2人以上</v>
      </c>
      <c r="AV28" s="1">
        <f>IF(D28,VLOOKUP(D28,年収と手取り!C:I,7,1),0)/9.1%</f>
        <v>603.29670329670341</v>
      </c>
    </row>
    <row r="29" spans="2:48" x14ac:dyDescent="0.25">
      <c r="B29" s="5">
        <f t="shared" si="14"/>
        <v>42</v>
      </c>
      <c r="C29" s="3">
        <f t="shared" si="15"/>
        <v>47</v>
      </c>
      <c r="D29" s="34">
        <f>IF(C29&gt;入力!$D$22,0,VLOOKUP(C29,賃金カーブ!R:T,3,0))</f>
        <v>612.53419232188764</v>
      </c>
      <c r="E29" s="3">
        <f>VLOOKUP(D29,年収と手取り!X:Y,2,1)</f>
        <v>468.11399999999998</v>
      </c>
      <c r="F29" s="3">
        <f>入力!$E$28</f>
        <v>0</v>
      </c>
      <c r="G29" s="3">
        <f>IF(C29=入力!D$22,入力!E$31,0)</f>
        <v>0</v>
      </c>
      <c r="H29" s="3">
        <f t="shared" si="0"/>
        <v>0</v>
      </c>
      <c r="I29" s="14">
        <f>IF(H29&gt;0,-年金の税金!$G$24/10000,0)</f>
        <v>0</v>
      </c>
      <c r="J29" s="24">
        <f t="shared" si="1"/>
        <v>468.11399999999998</v>
      </c>
      <c r="K29" s="5"/>
      <c r="L29" s="3"/>
      <c r="M29" s="3">
        <f t="shared" si="16"/>
        <v>35.640000000000008</v>
      </c>
      <c r="N29" s="3">
        <f t="shared" si="16"/>
        <v>13.200000000000001</v>
      </c>
      <c r="O29" s="3">
        <f t="shared" si="16"/>
        <v>6.6000000000000005</v>
      </c>
      <c r="P29" s="3">
        <f t="shared" si="16"/>
        <v>5.2800000000000011</v>
      </c>
      <c r="Q29" s="3">
        <f t="shared" si="16"/>
        <v>3.3000000000000003</v>
      </c>
      <c r="R29" s="3">
        <f>IF(C29&gt;65,0,IF(OR(AND(子1!C29&gt;=0,子1!C29&lt;=18),AND(子2!C29&gt;=0,子2!C29&lt;=18),AND(子3!C29&gt;=0,子3!C29&lt;=18),AND(子4!C29&gt;=0,子4!C29&lt;=18)),入力!$D$35,入力!$D$34)*12)</f>
        <v>12</v>
      </c>
      <c r="S29" s="14"/>
      <c r="T29" s="18">
        <f t="shared" si="3"/>
        <v>76.02000000000001</v>
      </c>
      <c r="U29" s="24">
        <f t="shared" si="4"/>
        <v>392.09399999999994</v>
      </c>
      <c r="V29" s="3">
        <f t="shared" si="5"/>
        <v>6</v>
      </c>
      <c r="W29" s="3">
        <f t="shared" si="5"/>
        <v>2.4000000000000004</v>
      </c>
      <c r="X29" s="3"/>
      <c r="Y29" s="3"/>
      <c r="Z29" s="3"/>
      <c r="AA29" s="3"/>
      <c r="AB29" s="14"/>
      <c r="AC29" s="18">
        <f t="shared" si="6"/>
        <v>8.4</v>
      </c>
      <c r="AD29" s="24">
        <f t="shared" si="7"/>
        <v>383.69399999999996</v>
      </c>
      <c r="AE29" s="5">
        <f t="shared" si="11"/>
        <v>36</v>
      </c>
      <c r="AF29" s="3"/>
      <c r="AG29" s="3"/>
      <c r="AH29" s="3"/>
      <c r="AI29" s="3"/>
      <c r="AJ29" s="14"/>
      <c r="AK29" s="18">
        <f t="shared" si="12"/>
        <v>36</v>
      </c>
      <c r="AL29" s="24">
        <f t="shared" si="8"/>
        <v>347.69399999999996</v>
      </c>
      <c r="AM29" s="24">
        <f t="shared" si="9"/>
        <v>6268.1972399999995</v>
      </c>
      <c r="AQ29" s="24"/>
      <c r="AS29">
        <f>(親2!E29&lt;103)*1+AND(子1!C29&gt;=0,子1!C29&lt;15)*1+AND(子2!C29&gt;=0,子2!C29&lt;15)*1+AND(子3!C29&gt;=0,子3!C29&lt;15)*1+AND(子4!C29&gt;=0,子4!C29&lt;15)*1</f>
        <v>0</v>
      </c>
      <c r="AT29">
        <f>AND(子1!AC29&gt;0)*1+AND(子2!AC29&gt;0)*1+AND(子3!AC29&gt;0)*1+AND(子4!AC29&gt;0)*1</f>
        <v>2</v>
      </c>
      <c r="AU29" t="str">
        <f t="shared" si="13"/>
        <v>子2人以上</v>
      </c>
      <c r="AV29" s="1">
        <f>IF(D29,VLOOKUP(D29,年収と手取り!C:I,7,1),0)/9.1%</f>
        <v>603.29670329670341</v>
      </c>
    </row>
    <row r="30" spans="2:48" x14ac:dyDescent="0.25">
      <c r="B30" s="5">
        <f t="shared" si="14"/>
        <v>43</v>
      </c>
      <c r="C30" s="3">
        <f t="shared" si="15"/>
        <v>48</v>
      </c>
      <c r="D30" s="34">
        <f>IF(C30&gt;入力!$D$22,0,VLOOKUP(C30,賃金カーブ!R:T,3,0))</f>
        <v>622.64384254416086</v>
      </c>
      <c r="E30" s="3">
        <f>VLOOKUP(D30,年収と手取り!X:Y,2,1)</f>
        <v>472.13783999999998</v>
      </c>
      <c r="F30" s="3">
        <f>入力!$E$28</f>
        <v>0</v>
      </c>
      <c r="G30" s="3">
        <f>IF(C30=入力!D$22,入力!E$31,0)</f>
        <v>0</v>
      </c>
      <c r="H30" s="3">
        <f t="shared" si="0"/>
        <v>0</v>
      </c>
      <c r="I30" s="14">
        <f>IF(H30&gt;0,-年金の税金!$G$24/10000,0)</f>
        <v>0</v>
      </c>
      <c r="J30" s="24">
        <f t="shared" si="1"/>
        <v>472.13783999999998</v>
      </c>
      <c r="K30" s="5"/>
      <c r="L30" s="3"/>
      <c r="M30" s="3">
        <f t="shared" si="16"/>
        <v>35.640000000000008</v>
      </c>
      <c r="N30" s="3">
        <f t="shared" si="16"/>
        <v>13.200000000000001</v>
      </c>
      <c r="O30" s="3">
        <f t="shared" si="16"/>
        <v>6.6000000000000005</v>
      </c>
      <c r="P30" s="3">
        <f t="shared" si="16"/>
        <v>5.2800000000000011</v>
      </c>
      <c r="Q30" s="3">
        <f t="shared" si="16"/>
        <v>3.3000000000000003</v>
      </c>
      <c r="R30" s="3">
        <f>IF(C30&gt;65,0,IF(OR(AND(子1!C30&gt;=0,子1!C30&lt;=18),AND(子2!C30&gt;=0,子2!C30&lt;=18),AND(子3!C30&gt;=0,子3!C30&lt;=18),AND(子4!C30&gt;=0,子4!C30&lt;=18)),入力!$D$35,入力!$D$34)*12)</f>
        <v>12</v>
      </c>
      <c r="S30" s="14"/>
      <c r="T30" s="18">
        <f t="shared" si="3"/>
        <v>76.02000000000001</v>
      </c>
      <c r="U30" s="24">
        <f t="shared" si="4"/>
        <v>396.11784</v>
      </c>
      <c r="V30" s="3">
        <f t="shared" si="5"/>
        <v>6</v>
      </c>
      <c r="W30" s="3">
        <f t="shared" si="5"/>
        <v>2.4000000000000004</v>
      </c>
      <c r="X30" s="3"/>
      <c r="Y30" s="3"/>
      <c r="Z30" s="3"/>
      <c r="AA30" s="3"/>
      <c r="AB30" s="14"/>
      <c r="AC30" s="18">
        <f t="shared" si="6"/>
        <v>8.4</v>
      </c>
      <c r="AD30" s="24">
        <f t="shared" si="7"/>
        <v>387.71784000000002</v>
      </c>
      <c r="AE30" s="5">
        <f t="shared" si="11"/>
        <v>36</v>
      </c>
      <c r="AF30" s="3"/>
      <c r="AG30" s="3"/>
      <c r="AH30" s="3"/>
      <c r="AI30" s="3"/>
      <c r="AJ30" s="14"/>
      <c r="AK30" s="18">
        <f t="shared" si="12"/>
        <v>36</v>
      </c>
      <c r="AL30" s="24">
        <f t="shared" si="8"/>
        <v>351.71784000000002</v>
      </c>
      <c r="AM30" s="24">
        <f t="shared" si="9"/>
        <v>6619.9150799999998</v>
      </c>
      <c r="AQ30" s="24"/>
      <c r="AS30">
        <f>(親2!E30&lt;103)*1+AND(子1!C30&gt;=0,子1!C30&lt;15)*1+AND(子2!C30&gt;=0,子2!C30&lt;15)*1+AND(子3!C30&gt;=0,子3!C30&lt;15)*1+AND(子4!C30&gt;=0,子4!C30&lt;15)*1</f>
        <v>0</v>
      </c>
      <c r="AT30">
        <f>AND(子1!AC30&gt;0)*1+AND(子2!AC30&gt;0)*1+AND(子3!AC30&gt;0)*1+AND(子4!AC30&gt;0)*1</f>
        <v>2</v>
      </c>
      <c r="AU30" t="str">
        <f t="shared" si="13"/>
        <v>子2人以上</v>
      </c>
      <c r="AV30" s="1">
        <f>IF(D30,VLOOKUP(D30,年収と手取り!C:I,7,1),0)/9.1%</f>
        <v>639.49450549450557</v>
      </c>
    </row>
    <row r="31" spans="2:48" x14ac:dyDescent="0.25">
      <c r="B31" s="5">
        <f t="shared" si="14"/>
        <v>44</v>
      </c>
      <c r="C31" s="3">
        <f t="shared" si="15"/>
        <v>49</v>
      </c>
      <c r="D31" s="34">
        <f>IF(C31&gt;入力!$D$22,0,VLOOKUP(C31,賃金カーブ!R:T,3,0))</f>
        <v>632.92034880304038</v>
      </c>
      <c r="E31" s="3">
        <f>VLOOKUP(D31,年収と手取り!X:Y,2,1)</f>
        <v>480.53783999999996</v>
      </c>
      <c r="F31" s="3">
        <f>入力!$E$28</f>
        <v>0</v>
      </c>
      <c r="G31" s="3">
        <f>IF(C31=入力!D$22,入力!E$31,0)</f>
        <v>0</v>
      </c>
      <c r="H31" s="3">
        <f t="shared" si="0"/>
        <v>0</v>
      </c>
      <c r="I31" s="14">
        <f>IF(H31&gt;0,-年金の税金!$G$24/10000,0)</f>
        <v>0</v>
      </c>
      <c r="J31" s="24">
        <f t="shared" si="1"/>
        <v>480.53783999999996</v>
      </c>
      <c r="K31" s="5"/>
      <c r="L31" s="3"/>
      <c r="M31" s="3">
        <f t="shared" si="16"/>
        <v>35.640000000000008</v>
      </c>
      <c r="N31" s="3">
        <f t="shared" si="16"/>
        <v>13.200000000000001</v>
      </c>
      <c r="O31" s="3">
        <f t="shared" si="16"/>
        <v>6.6000000000000005</v>
      </c>
      <c r="P31" s="3">
        <f t="shared" si="16"/>
        <v>5.2800000000000011</v>
      </c>
      <c r="Q31" s="3">
        <f t="shared" si="16"/>
        <v>3.3000000000000003</v>
      </c>
      <c r="R31" s="3">
        <f>IF(C31&gt;65,0,IF(OR(AND(子1!C31&gt;=0,子1!C31&lt;=18),AND(子2!C31&gt;=0,子2!C31&lt;=18),AND(子3!C31&gt;=0,子3!C31&lt;=18),AND(子4!C31&gt;=0,子4!C31&lt;=18)),入力!$D$35,入力!$D$34)*12)</f>
        <v>12</v>
      </c>
      <c r="S31" s="14"/>
      <c r="T31" s="18">
        <f t="shared" si="3"/>
        <v>76.02000000000001</v>
      </c>
      <c r="U31" s="24">
        <f t="shared" si="4"/>
        <v>404.51783999999998</v>
      </c>
      <c r="V31" s="3">
        <f t="shared" si="5"/>
        <v>6</v>
      </c>
      <c r="W31" s="3">
        <f t="shared" si="5"/>
        <v>2.4000000000000004</v>
      </c>
      <c r="X31" s="3"/>
      <c r="Y31" s="3"/>
      <c r="Z31" s="3"/>
      <c r="AA31" s="3"/>
      <c r="AB31" s="14"/>
      <c r="AC31" s="18">
        <f t="shared" si="6"/>
        <v>8.4</v>
      </c>
      <c r="AD31" s="24">
        <f t="shared" si="7"/>
        <v>396.11784</v>
      </c>
      <c r="AE31" s="5">
        <f t="shared" si="11"/>
        <v>36</v>
      </c>
      <c r="AF31" s="3"/>
      <c r="AG31" s="3"/>
      <c r="AH31" s="3"/>
      <c r="AI31" s="3"/>
      <c r="AJ31" s="14"/>
      <c r="AK31" s="18">
        <f t="shared" si="12"/>
        <v>36</v>
      </c>
      <c r="AL31" s="24">
        <f t="shared" si="8"/>
        <v>360.11784</v>
      </c>
      <c r="AM31" s="24">
        <f t="shared" si="9"/>
        <v>6980.0329199999996</v>
      </c>
      <c r="AQ31" s="24"/>
      <c r="AS31">
        <f>(親2!E31&lt;103)*1+AND(子1!C31&gt;=0,子1!C31&lt;15)*1+AND(子2!C31&gt;=0,子2!C31&lt;15)*1+AND(子3!C31&gt;=0,子3!C31&lt;15)*1+AND(子4!C31&gt;=0,子4!C31&lt;15)*1</f>
        <v>0</v>
      </c>
      <c r="AT31">
        <f>AND(子1!AC31&gt;0)*1+AND(子2!AC31&gt;0)*1+AND(子3!AC31&gt;0)*1+AND(子4!AC31&gt;0)*1</f>
        <v>2</v>
      </c>
      <c r="AU31" t="str">
        <f t="shared" si="13"/>
        <v>子2人以上</v>
      </c>
      <c r="AV31" s="1">
        <f>IF(D31,VLOOKUP(D31,年収と手取り!C:I,7,1),0)/9.1%</f>
        <v>639.49450549450557</v>
      </c>
    </row>
    <row r="32" spans="2:48" x14ac:dyDescent="0.25">
      <c r="B32" s="5">
        <f t="shared" si="14"/>
        <v>45</v>
      </c>
      <c r="C32" s="3">
        <f t="shared" si="15"/>
        <v>50</v>
      </c>
      <c r="D32" s="34">
        <f>IF(C32&gt;入力!$D$22,0,VLOOKUP(C32,賃金カーブ!R:T,3,0))</f>
        <v>643.36646499567848</v>
      </c>
      <c r="E32" s="3">
        <f>VLOOKUP(D32,年収と手取り!X:Y,2,1)</f>
        <v>488.93783999999999</v>
      </c>
      <c r="F32" s="3">
        <f>入力!$E$28</f>
        <v>0</v>
      </c>
      <c r="G32" s="3">
        <f>IF(C32=入力!D$22,入力!E$31,0)</f>
        <v>0</v>
      </c>
      <c r="H32" s="3">
        <f t="shared" si="0"/>
        <v>0</v>
      </c>
      <c r="I32" s="14">
        <f>IF(H32&gt;0,-年金の税金!$G$24/10000,0)</f>
        <v>0</v>
      </c>
      <c r="J32" s="24">
        <f t="shared" si="1"/>
        <v>488.93783999999999</v>
      </c>
      <c r="K32" s="5"/>
      <c r="L32" s="3"/>
      <c r="M32" s="3">
        <f t="shared" si="16"/>
        <v>35.640000000000008</v>
      </c>
      <c r="N32" s="3">
        <f t="shared" si="16"/>
        <v>13.200000000000001</v>
      </c>
      <c r="O32" s="3">
        <f t="shared" si="16"/>
        <v>6.6000000000000005</v>
      </c>
      <c r="P32" s="3">
        <f t="shared" si="16"/>
        <v>5.2800000000000011</v>
      </c>
      <c r="Q32" s="3">
        <f t="shared" si="16"/>
        <v>3.3000000000000003</v>
      </c>
      <c r="R32" s="3">
        <f>IF(C32&gt;65,0,IF(OR(AND(子1!C32&gt;=0,子1!C32&lt;=18),AND(子2!C32&gt;=0,子2!C32&lt;=18),AND(子3!C32&gt;=0,子3!C32&lt;=18),AND(子4!C32&gt;=0,子4!C32&lt;=18)),入力!$D$35,入力!$D$34)*12)</f>
        <v>12</v>
      </c>
      <c r="S32" s="14"/>
      <c r="T32" s="18">
        <f t="shared" si="3"/>
        <v>76.02000000000001</v>
      </c>
      <c r="U32" s="24">
        <f t="shared" si="4"/>
        <v>412.91783999999996</v>
      </c>
      <c r="V32" s="3">
        <f t="shared" si="5"/>
        <v>6</v>
      </c>
      <c r="W32" s="3">
        <f t="shared" si="5"/>
        <v>2.4000000000000004</v>
      </c>
      <c r="X32" s="3"/>
      <c r="Y32" s="3"/>
      <c r="Z32" s="3"/>
      <c r="AA32" s="3"/>
      <c r="AB32" s="14"/>
      <c r="AC32" s="18">
        <f t="shared" si="6"/>
        <v>8.4</v>
      </c>
      <c r="AD32" s="24">
        <f t="shared" si="7"/>
        <v>404.51783999999998</v>
      </c>
      <c r="AE32" s="5">
        <f t="shared" si="11"/>
        <v>36</v>
      </c>
      <c r="AF32" s="3"/>
      <c r="AG32" s="3"/>
      <c r="AH32" s="3"/>
      <c r="AI32" s="3"/>
      <c r="AJ32" s="14"/>
      <c r="AK32" s="18">
        <f t="shared" si="12"/>
        <v>36</v>
      </c>
      <c r="AL32" s="24">
        <f t="shared" si="8"/>
        <v>368.51783999999998</v>
      </c>
      <c r="AM32" s="24">
        <f t="shared" si="9"/>
        <v>7348.5507600000001</v>
      </c>
      <c r="AQ32" s="24"/>
      <c r="AS32">
        <f>(親2!E32&lt;103)*1+AND(子1!C32&gt;=0,子1!C32&lt;15)*1+AND(子2!C32&gt;=0,子2!C32&lt;15)*1+AND(子3!C32&gt;=0,子3!C32&lt;15)*1+AND(子4!C32&gt;=0,子4!C32&lt;15)*1</f>
        <v>0</v>
      </c>
      <c r="AT32">
        <f>AND(子1!AC32&gt;0)*1+AND(子2!AC32&gt;0)*1+AND(子3!AC32&gt;0)*1+AND(子4!AC32&gt;0)*1</f>
        <v>2</v>
      </c>
      <c r="AU32" t="str">
        <f t="shared" si="13"/>
        <v>子2人以上</v>
      </c>
      <c r="AV32" s="1">
        <f>IF(D32,VLOOKUP(D32,年収と手取り!C:I,7,1),0)/9.1%</f>
        <v>639.49450549450557</v>
      </c>
    </row>
    <row r="33" spans="2:48" x14ac:dyDescent="0.25">
      <c r="B33" s="5">
        <f t="shared" si="14"/>
        <v>46</v>
      </c>
      <c r="C33" s="3">
        <f t="shared" si="15"/>
        <v>51</v>
      </c>
      <c r="D33" s="34">
        <f>IF(C33&gt;入力!$D$22,0,VLOOKUP(C33,賃金カーブ!R:T,3,0))</f>
        <v>641.21294335086088</v>
      </c>
      <c r="E33" s="3">
        <f>VLOOKUP(D33,年収と手取り!X:Y,2,1)</f>
        <v>488.93783999999999</v>
      </c>
      <c r="F33" s="3">
        <f>入力!$E$28</f>
        <v>0</v>
      </c>
      <c r="G33" s="3">
        <f>IF(C33=入力!D$22,入力!E$31,0)</f>
        <v>0</v>
      </c>
      <c r="H33" s="3">
        <f t="shared" si="0"/>
        <v>0</v>
      </c>
      <c r="I33" s="14">
        <f>IF(H33&gt;0,-年金の税金!$G$24/10000,0)</f>
        <v>0</v>
      </c>
      <c r="J33" s="24">
        <f t="shared" si="1"/>
        <v>488.93783999999999</v>
      </c>
      <c r="K33" s="5"/>
      <c r="L33" s="3"/>
      <c r="M33" s="3">
        <f t="shared" si="16"/>
        <v>35.640000000000008</v>
      </c>
      <c r="N33" s="3">
        <f t="shared" si="16"/>
        <v>13.200000000000001</v>
      </c>
      <c r="O33" s="3">
        <f t="shared" si="16"/>
        <v>6.6000000000000005</v>
      </c>
      <c r="P33" s="3">
        <f t="shared" si="16"/>
        <v>5.2800000000000011</v>
      </c>
      <c r="Q33" s="3">
        <f t="shared" si="16"/>
        <v>3.3000000000000003</v>
      </c>
      <c r="R33" s="3">
        <f>IF(C33&gt;65,0,IF(OR(AND(子1!C33&gt;=0,子1!C33&lt;=18),AND(子2!C33&gt;=0,子2!C33&lt;=18),AND(子3!C33&gt;=0,子3!C33&lt;=18),AND(子4!C33&gt;=0,子4!C33&lt;=18)),入力!$D$35,入力!$D$34)*12)</f>
        <v>12</v>
      </c>
      <c r="S33" s="14"/>
      <c r="T33" s="18">
        <f t="shared" si="3"/>
        <v>76.02000000000001</v>
      </c>
      <c r="U33" s="24">
        <f t="shared" si="4"/>
        <v>412.91783999999996</v>
      </c>
      <c r="V33" s="3">
        <f t="shared" si="5"/>
        <v>6</v>
      </c>
      <c r="W33" s="3">
        <f t="shared" si="5"/>
        <v>2.4000000000000004</v>
      </c>
      <c r="X33" s="3"/>
      <c r="Y33" s="3"/>
      <c r="Z33" s="3"/>
      <c r="AA33" s="3"/>
      <c r="AB33" s="14"/>
      <c r="AC33" s="18">
        <f t="shared" si="6"/>
        <v>8.4</v>
      </c>
      <c r="AD33" s="24">
        <f t="shared" si="7"/>
        <v>404.51783999999998</v>
      </c>
      <c r="AE33" s="5">
        <f t="shared" si="11"/>
        <v>36</v>
      </c>
      <c r="AF33" s="3"/>
      <c r="AG33" s="3"/>
      <c r="AH33" s="3"/>
      <c r="AI33" s="3"/>
      <c r="AJ33" s="14"/>
      <c r="AK33" s="18">
        <f t="shared" si="12"/>
        <v>36</v>
      </c>
      <c r="AL33" s="24">
        <f t="shared" si="8"/>
        <v>368.51783999999998</v>
      </c>
      <c r="AM33" s="24">
        <f t="shared" si="9"/>
        <v>7717.0686000000005</v>
      </c>
      <c r="AQ33" s="24"/>
      <c r="AS33">
        <f>(親2!E33&lt;103)*1+AND(子1!C33&gt;=0,子1!C33&lt;15)*1+AND(子2!C33&gt;=0,子2!C33&lt;15)*1+AND(子3!C33&gt;=0,子3!C33&lt;15)*1+AND(子4!C33&gt;=0,子4!C33&lt;15)*1</f>
        <v>0</v>
      </c>
      <c r="AT33">
        <f>AND(子1!AC33&gt;0)*1+AND(子2!AC33&gt;0)*1+AND(子3!AC33&gt;0)*1+AND(子4!AC33&gt;0)*1</f>
        <v>1</v>
      </c>
      <c r="AU33" t="str">
        <f t="shared" si="13"/>
        <v>子1人</v>
      </c>
      <c r="AV33" s="1">
        <f>IF(D33,VLOOKUP(D33,年収と手取り!C:I,7,1),0)/9.1%</f>
        <v>639.49450549450557</v>
      </c>
    </row>
    <row r="34" spans="2:48" x14ac:dyDescent="0.25">
      <c r="B34" s="5">
        <f t="shared" si="14"/>
        <v>47</v>
      </c>
      <c r="C34" s="3">
        <f t="shared" si="15"/>
        <v>52</v>
      </c>
      <c r="D34" s="34">
        <f>IF(C34&gt;入力!$D$22,0,VLOOKUP(C34,賃金カーブ!R:T,3,0))</f>
        <v>639.066630125703</v>
      </c>
      <c r="E34" s="3">
        <f>VLOOKUP(D34,年収と手取り!X:Y,2,1)</f>
        <v>480.53783999999996</v>
      </c>
      <c r="F34" s="3">
        <f>入力!$E$28</f>
        <v>0</v>
      </c>
      <c r="G34" s="3">
        <f>IF(C34=入力!D$22,入力!E$31,0)</f>
        <v>0</v>
      </c>
      <c r="H34" s="3">
        <f t="shared" si="0"/>
        <v>0</v>
      </c>
      <c r="I34" s="14">
        <f>IF(H34&gt;0,-年金の税金!$G$24/10000,0)</f>
        <v>0</v>
      </c>
      <c r="J34" s="24">
        <f t="shared" si="1"/>
        <v>480.53783999999996</v>
      </c>
      <c r="K34" s="5"/>
      <c r="L34" s="3"/>
      <c r="M34" s="3">
        <f t="shared" si="16"/>
        <v>35.640000000000008</v>
      </c>
      <c r="N34" s="3">
        <f t="shared" si="16"/>
        <v>13.200000000000001</v>
      </c>
      <c r="O34" s="3">
        <f t="shared" si="16"/>
        <v>6.6000000000000005</v>
      </c>
      <c r="P34" s="3">
        <f t="shared" si="16"/>
        <v>5.2800000000000011</v>
      </c>
      <c r="Q34" s="3">
        <f t="shared" si="16"/>
        <v>3.3000000000000003</v>
      </c>
      <c r="R34" s="3">
        <f>IF(C34&gt;65,0,IF(OR(AND(子1!C34&gt;=0,子1!C34&lt;=18),AND(子2!C34&gt;=0,子2!C34&lt;=18),AND(子3!C34&gt;=0,子3!C34&lt;=18),AND(子4!C34&gt;=0,子4!C34&lt;=18)),入力!$D$35,入力!$D$34)*12)</f>
        <v>12</v>
      </c>
      <c r="S34" s="14"/>
      <c r="T34" s="18">
        <f t="shared" si="3"/>
        <v>76.02000000000001</v>
      </c>
      <c r="U34" s="24">
        <f t="shared" si="4"/>
        <v>404.51783999999998</v>
      </c>
      <c r="V34" s="3">
        <f t="shared" si="5"/>
        <v>6</v>
      </c>
      <c r="W34" s="3">
        <f t="shared" si="5"/>
        <v>2.4000000000000004</v>
      </c>
      <c r="X34" s="3"/>
      <c r="Y34" s="3"/>
      <c r="Z34" s="3"/>
      <c r="AA34" s="3"/>
      <c r="AB34" s="14"/>
      <c r="AC34" s="18">
        <f t="shared" si="6"/>
        <v>8.4</v>
      </c>
      <c r="AD34" s="24">
        <f t="shared" si="7"/>
        <v>396.11784</v>
      </c>
      <c r="AE34" s="5">
        <f t="shared" si="11"/>
        <v>36</v>
      </c>
      <c r="AF34" s="3"/>
      <c r="AG34" s="3"/>
      <c r="AH34" s="3"/>
      <c r="AI34" s="3"/>
      <c r="AJ34" s="14"/>
      <c r="AK34" s="18">
        <f t="shared" si="12"/>
        <v>36</v>
      </c>
      <c r="AL34" s="24">
        <f t="shared" si="8"/>
        <v>360.11784</v>
      </c>
      <c r="AM34" s="24">
        <f t="shared" si="9"/>
        <v>8077.1864400000004</v>
      </c>
      <c r="AQ34" s="24"/>
      <c r="AS34">
        <f>(親2!E34&lt;103)*1+AND(子1!C34&gt;=0,子1!C34&lt;15)*1+AND(子2!C34&gt;=0,子2!C34&lt;15)*1+AND(子3!C34&gt;=0,子3!C34&lt;15)*1+AND(子4!C34&gt;=0,子4!C34&lt;15)*1</f>
        <v>0</v>
      </c>
      <c r="AT34">
        <f>AND(子1!AC34&gt;0)*1+AND(子2!AC34&gt;0)*1+AND(子3!AC34&gt;0)*1+AND(子4!AC34&gt;0)*1</f>
        <v>1</v>
      </c>
      <c r="AU34" t="str">
        <f t="shared" si="13"/>
        <v>子1人</v>
      </c>
      <c r="AV34" s="1">
        <f>IF(D34,VLOOKUP(D34,年収と手取り!C:I,7,1),0)/9.1%</f>
        <v>639.49450549450557</v>
      </c>
    </row>
    <row r="35" spans="2:48" x14ac:dyDescent="0.25">
      <c r="B35" s="5">
        <f t="shared" si="14"/>
        <v>48</v>
      </c>
      <c r="C35" s="3">
        <f t="shared" si="15"/>
        <v>53</v>
      </c>
      <c r="D35" s="34">
        <f>IF(C35&gt;入力!$D$22,0,VLOOKUP(C35,賃金カーブ!R:T,3,0))</f>
        <v>636.92750119167385</v>
      </c>
      <c r="E35" s="3">
        <f>VLOOKUP(D35,年収と手取り!X:Y,2,1)</f>
        <v>480.53783999999996</v>
      </c>
      <c r="F35" s="3">
        <f>入力!$E$28</f>
        <v>0</v>
      </c>
      <c r="G35" s="3">
        <f>IF(C35=入力!D$22,入力!E$31,0)</f>
        <v>0</v>
      </c>
      <c r="H35" s="3">
        <f t="shared" si="0"/>
        <v>0</v>
      </c>
      <c r="I35" s="14">
        <f>IF(H35&gt;0,-年金の税金!$G$24/10000,0)</f>
        <v>0</v>
      </c>
      <c r="J35" s="24">
        <f t="shared" si="1"/>
        <v>480.53783999999996</v>
      </c>
      <c r="K35" s="5"/>
      <c r="L35" s="3"/>
      <c r="M35" s="3">
        <f t="shared" si="16"/>
        <v>35.640000000000008</v>
      </c>
      <c r="N35" s="3">
        <f t="shared" si="16"/>
        <v>13.200000000000001</v>
      </c>
      <c r="O35" s="3">
        <f t="shared" si="16"/>
        <v>6.6000000000000005</v>
      </c>
      <c r="P35" s="3">
        <f t="shared" si="16"/>
        <v>5.2800000000000011</v>
      </c>
      <c r="Q35" s="3">
        <f t="shared" si="16"/>
        <v>3.3000000000000003</v>
      </c>
      <c r="R35" s="3">
        <f>IF(C35&gt;65,0,IF(OR(AND(子1!C35&gt;=0,子1!C35&lt;=18),AND(子2!C35&gt;=0,子2!C35&lt;=18),AND(子3!C35&gt;=0,子3!C35&lt;=18),AND(子4!C35&gt;=0,子4!C35&lt;=18)),入力!$D$35,入力!$D$34)*12)</f>
        <v>12</v>
      </c>
      <c r="S35" s="14"/>
      <c r="T35" s="18">
        <f t="shared" si="3"/>
        <v>76.02000000000001</v>
      </c>
      <c r="U35" s="24">
        <f t="shared" si="4"/>
        <v>404.51783999999998</v>
      </c>
      <c r="V35" s="3">
        <f t="shared" si="5"/>
        <v>6</v>
      </c>
      <c r="W35" s="3">
        <f t="shared" si="5"/>
        <v>2.4000000000000004</v>
      </c>
      <c r="X35" s="3"/>
      <c r="Y35" s="3"/>
      <c r="Z35" s="3"/>
      <c r="AA35" s="3"/>
      <c r="AB35" s="14"/>
      <c r="AC35" s="18">
        <f t="shared" si="6"/>
        <v>8.4</v>
      </c>
      <c r="AD35" s="24">
        <f t="shared" si="7"/>
        <v>396.11784</v>
      </c>
      <c r="AE35" s="5">
        <f t="shared" si="11"/>
        <v>36</v>
      </c>
      <c r="AF35" s="3"/>
      <c r="AG35" s="3"/>
      <c r="AH35" s="3"/>
      <c r="AI35" s="3"/>
      <c r="AJ35" s="14"/>
      <c r="AK35" s="18">
        <f t="shared" si="12"/>
        <v>36</v>
      </c>
      <c r="AL35" s="24">
        <f t="shared" si="8"/>
        <v>360.11784</v>
      </c>
      <c r="AM35" s="24">
        <f t="shared" si="9"/>
        <v>8437.3042800000003</v>
      </c>
      <c r="AQ35" s="24"/>
      <c r="AS35">
        <f>(親2!E35&lt;103)*1+AND(子1!C35&gt;=0,子1!C35&lt;15)*1+AND(子2!C35&gt;=0,子2!C35&lt;15)*1+AND(子3!C35&gt;=0,子3!C35&lt;15)*1+AND(子4!C35&gt;=0,子4!C35&lt;15)*1</f>
        <v>0</v>
      </c>
      <c r="AT35">
        <f>AND(子1!AC35&gt;0)*1+AND(子2!AC35&gt;0)*1+AND(子3!AC35&gt;0)*1+AND(子4!AC35&gt;0)*1</f>
        <v>1</v>
      </c>
      <c r="AU35" t="str">
        <f t="shared" si="13"/>
        <v>子1人</v>
      </c>
      <c r="AV35" s="1">
        <f>IF(D35,VLOOKUP(D35,年収と手取り!C:I,7,1),0)/9.1%</f>
        <v>639.49450549450557</v>
      </c>
    </row>
    <row r="36" spans="2:48" x14ac:dyDescent="0.25">
      <c r="B36" s="5">
        <f t="shared" si="14"/>
        <v>49</v>
      </c>
      <c r="C36" s="3">
        <f t="shared" si="15"/>
        <v>54</v>
      </c>
      <c r="D36" s="34">
        <f>IF(C36&gt;入力!$D$22,0,VLOOKUP(C36,賃金カーブ!R:T,3,0))</f>
        <v>634.79553250100696</v>
      </c>
      <c r="E36" s="3">
        <f>VLOOKUP(D36,年収と手取り!X:Y,2,1)</f>
        <v>480.53783999999996</v>
      </c>
      <c r="F36" s="3">
        <f>入力!$E$28</f>
        <v>0</v>
      </c>
      <c r="G36" s="3">
        <f>IF(C36=入力!D$22,入力!E$31,0)</f>
        <v>0</v>
      </c>
      <c r="H36" s="3">
        <f t="shared" si="0"/>
        <v>0</v>
      </c>
      <c r="I36" s="14">
        <f>IF(H36&gt;0,-年金の税金!$G$24/10000,0)</f>
        <v>0</v>
      </c>
      <c r="J36" s="24">
        <f t="shared" si="1"/>
        <v>480.53783999999996</v>
      </c>
      <c r="K36" s="5"/>
      <c r="L36" s="3"/>
      <c r="M36" s="3">
        <f t="shared" si="16"/>
        <v>35.640000000000008</v>
      </c>
      <c r="N36" s="3">
        <f t="shared" si="16"/>
        <v>13.200000000000001</v>
      </c>
      <c r="O36" s="3">
        <f t="shared" si="16"/>
        <v>6.6000000000000005</v>
      </c>
      <c r="P36" s="3">
        <f t="shared" si="16"/>
        <v>5.2800000000000011</v>
      </c>
      <c r="Q36" s="3">
        <f t="shared" si="16"/>
        <v>3.3000000000000003</v>
      </c>
      <c r="R36" s="3">
        <f>IF(C36&gt;65,0,IF(OR(AND(子1!C36&gt;=0,子1!C36&lt;=18),AND(子2!C36&gt;=0,子2!C36&lt;=18),AND(子3!C36&gt;=0,子3!C36&lt;=18),AND(子4!C36&gt;=0,子4!C36&lt;=18)),入力!$D$35,入力!$D$34)*12)</f>
        <v>12</v>
      </c>
      <c r="S36" s="14"/>
      <c r="T36" s="18">
        <f t="shared" si="3"/>
        <v>76.02000000000001</v>
      </c>
      <c r="U36" s="24">
        <f t="shared" si="4"/>
        <v>404.51783999999998</v>
      </c>
      <c r="V36" s="3">
        <f t="shared" si="5"/>
        <v>6</v>
      </c>
      <c r="W36" s="3">
        <f t="shared" si="5"/>
        <v>2.4000000000000004</v>
      </c>
      <c r="X36" s="3"/>
      <c r="Y36" s="3"/>
      <c r="Z36" s="3"/>
      <c r="AA36" s="3"/>
      <c r="AB36" s="14"/>
      <c r="AC36" s="18">
        <f t="shared" si="6"/>
        <v>8.4</v>
      </c>
      <c r="AD36" s="24">
        <f t="shared" si="7"/>
        <v>396.11784</v>
      </c>
      <c r="AE36" s="5">
        <f t="shared" si="11"/>
        <v>36</v>
      </c>
      <c r="AF36" s="3"/>
      <c r="AG36" s="3"/>
      <c r="AH36" s="3"/>
      <c r="AI36" s="3"/>
      <c r="AJ36" s="14"/>
      <c r="AK36" s="18">
        <f t="shared" si="12"/>
        <v>36</v>
      </c>
      <c r="AL36" s="24">
        <f t="shared" si="8"/>
        <v>360.11784</v>
      </c>
      <c r="AM36" s="24">
        <f t="shared" si="9"/>
        <v>8797.4221200000011</v>
      </c>
      <c r="AQ36" s="24"/>
      <c r="AS36">
        <f>(親2!E36&lt;103)*1+AND(子1!C36&gt;=0,子1!C36&lt;15)*1+AND(子2!C36&gt;=0,子2!C36&lt;15)*1+AND(子3!C36&gt;=0,子3!C36&lt;15)*1+AND(子4!C36&gt;=0,子4!C36&lt;15)*1</f>
        <v>0</v>
      </c>
      <c r="AT36">
        <f>AND(子1!AC36&gt;0)*1+AND(子2!AC36&gt;0)*1+AND(子3!AC36&gt;0)*1+AND(子4!AC36&gt;0)*1</f>
        <v>1</v>
      </c>
      <c r="AU36" t="str">
        <f t="shared" si="13"/>
        <v>子1人</v>
      </c>
      <c r="AV36" s="1">
        <f>IF(D36,VLOOKUP(D36,年収と手取り!C:I,7,1),0)/9.1%</f>
        <v>639.49450549450557</v>
      </c>
    </row>
    <row r="37" spans="2:48" x14ac:dyDescent="0.25">
      <c r="B37" s="5">
        <f t="shared" si="14"/>
        <v>50</v>
      </c>
      <c r="C37" s="3">
        <f t="shared" si="15"/>
        <v>55</v>
      </c>
      <c r="D37" s="34">
        <f>IF(C37&gt;入力!$D$22,0,VLOOKUP(C37,賃金カーブ!R:T,3,0))</f>
        <v>632.67070008643032</v>
      </c>
      <c r="E37" s="3">
        <f>VLOOKUP(D37,年収と手取り!X:Y,2,1)</f>
        <v>480.53783999999996</v>
      </c>
      <c r="F37" s="3">
        <f>入力!$E$28</f>
        <v>0</v>
      </c>
      <c r="G37" s="3">
        <f>IF(C37=入力!D$22,入力!E$31,0)</f>
        <v>0</v>
      </c>
      <c r="H37" s="3">
        <f>IF(C37&gt;65,6.5+$AX$74,0)*12</f>
        <v>0</v>
      </c>
      <c r="I37" s="14">
        <f>IF(H37&gt;0,-年金の税金!$G$24/10000,0)</f>
        <v>0</v>
      </c>
      <c r="J37" s="24">
        <f t="shared" si="1"/>
        <v>480.53783999999996</v>
      </c>
      <c r="K37" s="5"/>
      <c r="L37" s="3"/>
      <c r="M37" s="3">
        <f t="shared" si="16"/>
        <v>35.640000000000008</v>
      </c>
      <c r="N37" s="3">
        <f t="shared" si="16"/>
        <v>13.200000000000001</v>
      </c>
      <c r="O37" s="3">
        <f t="shared" si="16"/>
        <v>6.6000000000000005</v>
      </c>
      <c r="P37" s="3">
        <f t="shared" si="16"/>
        <v>5.2800000000000011</v>
      </c>
      <c r="Q37" s="3">
        <f t="shared" si="16"/>
        <v>3.3000000000000003</v>
      </c>
      <c r="R37" s="3">
        <f>IF(C37&gt;65,0,IF(OR(AND(子1!C37&gt;=0,子1!C37&lt;=18),AND(子2!C37&gt;=0,子2!C37&lt;=18),AND(子3!C37&gt;=0,子3!C37&lt;=18),AND(子4!C37&gt;=0,子4!C37&lt;=18)),入力!$D$35,入力!$D$34)*12)</f>
        <v>12</v>
      </c>
      <c r="S37" s="14"/>
      <c r="T37" s="18">
        <f t="shared" si="3"/>
        <v>76.02000000000001</v>
      </c>
      <c r="U37" s="24">
        <f t="shared" si="4"/>
        <v>404.51783999999998</v>
      </c>
      <c r="V37" s="3">
        <f t="shared" si="5"/>
        <v>6</v>
      </c>
      <c r="W37" s="3">
        <f t="shared" si="5"/>
        <v>2.4000000000000004</v>
      </c>
      <c r="X37" s="3"/>
      <c r="Y37" s="3"/>
      <c r="Z37" s="3"/>
      <c r="AA37" s="3"/>
      <c r="AB37" s="14"/>
      <c r="AC37" s="18">
        <f t="shared" si="6"/>
        <v>8.4</v>
      </c>
      <c r="AD37" s="24">
        <f t="shared" si="7"/>
        <v>396.11784</v>
      </c>
      <c r="AE37" s="5">
        <f t="shared" si="11"/>
        <v>36</v>
      </c>
      <c r="AF37" s="3"/>
      <c r="AG37" s="3"/>
      <c r="AH37" s="3"/>
      <c r="AI37" s="3"/>
      <c r="AJ37" s="14"/>
      <c r="AK37" s="18">
        <f t="shared" si="12"/>
        <v>36</v>
      </c>
      <c r="AL37" s="24">
        <f t="shared" si="8"/>
        <v>360.11784</v>
      </c>
      <c r="AM37" s="24">
        <f t="shared" si="9"/>
        <v>9157.5399600000019</v>
      </c>
      <c r="AQ37" s="24"/>
      <c r="AS37">
        <f>(親2!E37&lt;103)*1+AND(子1!C37&gt;=0,子1!C37&lt;15)*1+AND(子2!C37&gt;=0,子2!C37&lt;15)*1+AND(子3!C37&gt;=0,子3!C37&lt;15)*1+AND(子4!C37&gt;=0,子4!C37&lt;15)*1</f>
        <v>0</v>
      </c>
      <c r="AT37">
        <f>AND(子1!AC37&gt;0)*1+AND(子2!AC37&gt;0)*1+AND(子3!AC37&gt;0)*1+AND(子4!AC37&gt;0)*1</f>
        <v>0</v>
      </c>
      <c r="AU37" t="str">
        <f t="shared" si="13"/>
        <v>子離れ</v>
      </c>
      <c r="AV37" s="1">
        <f>IF(D37,VLOOKUP(D37,年収と手取り!C:I,7,1),0)/9.1%</f>
        <v>639.49450549450557</v>
      </c>
    </row>
    <row r="38" spans="2:48" x14ac:dyDescent="0.25">
      <c r="B38" s="5">
        <f t="shared" si="14"/>
        <v>51</v>
      </c>
      <c r="C38" s="3">
        <f t="shared" si="15"/>
        <v>56</v>
      </c>
      <c r="D38" s="34">
        <f>IF(C38&gt;入力!$D$22,0,VLOOKUP(C38,賃金カーブ!R:T,3,0))</f>
        <v>587.69028717591129</v>
      </c>
      <c r="E38" s="3">
        <f>VLOOKUP(D38,年収と手取り!X:Y,2,1)</f>
        <v>447.29016000000001</v>
      </c>
      <c r="F38" s="3">
        <f>入力!$E$28</f>
        <v>0</v>
      </c>
      <c r="G38" s="3">
        <f>IF(C38=入力!D$22,入力!E$31,0)</f>
        <v>0</v>
      </c>
      <c r="H38" s="3">
        <f t="shared" ref="H38:H70" si="17">IF(C38&gt;65,6.5+$AX$74,0)*12</f>
        <v>0</v>
      </c>
      <c r="I38" s="14">
        <f>IF(H38&gt;0,-年金の税金!$G$24/10000,0)</f>
        <v>0</v>
      </c>
      <c r="J38" s="24">
        <f t="shared" si="1"/>
        <v>447.29016000000001</v>
      </c>
      <c r="K38" s="5"/>
      <c r="L38" s="3"/>
      <c r="M38" s="3">
        <f t="shared" si="16"/>
        <v>35.640000000000008</v>
      </c>
      <c r="N38" s="3">
        <f t="shared" si="16"/>
        <v>13.200000000000001</v>
      </c>
      <c r="O38" s="3">
        <f t="shared" si="16"/>
        <v>6.6000000000000005</v>
      </c>
      <c r="P38" s="3">
        <f t="shared" si="16"/>
        <v>5.2800000000000011</v>
      </c>
      <c r="Q38" s="3">
        <f t="shared" si="16"/>
        <v>3.3000000000000003</v>
      </c>
      <c r="R38" s="3">
        <f>IF(C38&gt;65,0,IF(OR(AND(子1!C38&gt;=0,子1!C38&lt;=18),AND(子2!C38&gt;=0,子2!C38&lt;=18),AND(子3!C38&gt;=0,子3!C38&lt;=18),AND(子4!C38&gt;=0,子4!C38&lt;=18)),入力!$D$35,入力!$D$34)*12)</f>
        <v>12</v>
      </c>
      <c r="S38" s="14"/>
      <c r="T38" s="18">
        <f t="shared" ref="T38:T69" si="18">SUM(K38:S38)</f>
        <v>76.02000000000001</v>
      </c>
      <c r="U38" s="24">
        <f t="shared" ref="U38:U69" si="19">J38-T38</f>
        <v>371.27016000000003</v>
      </c>
      <c r="V38" s="3">
        <f t="shared" si="5"/>
        <v>6</v>
      </c>
      <c r="W38" s="3">
        <f t="shared" si="5"/>
        <v>2.4000000000000004</v>
      </c>
      <c r="X38" s="3"/>
      <c r="Y38" s="3"/>
      <c r="Z38" s="3"/>
      <c r="AA38" s="3"/>
      <c r="AB38" s="14"/>
      <c r="AC38" s="18">
        <f t="shared" ref="AC38:AC69" si="20">SUM(V38:AB38)</f>
        <v>8.4</v>
      </c>
      <c r="AD38" s="24">
        <f t="shared" ref="AD38:AD69" si="21">U38-AC38</f>
        <v>362.87016000000006</v>
      </c>
      <c r="AE38" s="5">
        <f t="shared" si="11"/>
        <v>36</v>
      </c>
      <c r="AF38" s="3"/>
      <c r="AG38" s="3"/>
      <c r="AH38" s="3"/>
      <c r="AI38" s="3"/>
      <c r="AJ38" s="14"/>
      <c r="AK38" s="18">
        <f t="shared" si="12"/>
        <v>36</v>
      </c>
      <c r="AL38" s="24">
        <f t="shared" ref="AL38:AL69" si="22">AD38-AK38</f>
        <v>326.87016000000006</v>
      </c>
      <c r="AM38" s="24">
        <f t="shared" ref="AM38:AM69" si="23">AL38+AM37</f>
        <v>9484.4101200000023</v>
      </c>
      <c r="AQ38" s="24"/>
      <c r="AS38">
        <f>(親2!E38&lt;103)*1+AND(子1!C38&gt;=0,子1!C38&lt;15)*1+AND(子2!C38&gt;=0,子2!C38&lt;15)*1+AND(子3!C38&gt;=0,子3!C38&lt;15)*1+AND(子4!C38&gt;=0,子4!C38&lt;15)*1</f>
        <v>0</v>
      </c>
      <c r="AT38">
        <f>AND(子1!AC38&gt;0)*1+AND(子2!AC38&gt;0)*1+AND(子3!AC38&gt;0)*1+AND(子4!AC38&gt;0)*1</f>
        <v>0</v>
      </c>
      <c r="AU38" t="str">
        <f t="shared" si="13"/>
        <v>夫婦</v>
      </c>
      <c r="AV38" s="1">
        <f>IF(D38,VLOOKUP(D38,年収と手取り!C:I,7,1),0)/9.1%</f>
        <v>567.09890109890102</v>
      </c>
    </row>
    <row r="39" spans="2:48" x14ac:dyDescent="0.25">
      <c r="B39" s="5">
        <f t="shared" si="14"/>
        <v>52</v>
      </c>
      <c r="C39" s="3">
        <f t="shared" si="15"/>
        <v>57</v>
      </c>
      <c r="D39" s="34">
        <f>IF(C39&gt;入力!$D$22,0,VLOOKUP(C39,賃金カーブ!R:T,3,0))</f>
        <v>545.9078057411574</v>
      </c>
      <c r="E39" s="3">
        <f>VLOOKUP(D39,年収と手取り!X:Y,2,1)</f>
        <v>418.06632000000002</v>
      </c>
      <c r="F39" s="3">
        <f>入力!$E$28</f>
        <v>0</v>
      </c>
      <c r="G39" s="3">
        <f>IF(C39=入力!D$22,入力!E$31,0)</f>
        <v>0</v>
      </c>
      <c r="H39" s="3">
        <f t="shared" si="17"/>
        <v>0</v>
      </c>
      <c r="I39" s="14">
        <f>IF(H39&gt;0,-年金の税金!$G$24/10000,0)</f>
        <v>0</v>
      </c>
      <c r="J39" s="24">
        <f t="shared" si="1"/>
        <v>418.06632000000002</v>
      </c>
      <c r="K39" s="5"/>
      <c r="L39" s="3"/>
      <c r="M39" s="3">
        <f t="shared" ref="M39:Q54" si="24">M$1</f>
        <v>35.640000000000008</v>
      </c>
      <c r="N39" s="3">
        <f t="shared" si="24"/>
        <v>13.200000000000001</v>
      </c>
      <c r="O39" s="3">
        <f t="shared" si="24"/>
        <v>6.6000000000000005</v>
      </c>
      <c r="P39" s="3">
        <f t="shared" si="24"/>
        <v>5.2800000000000011</v>
      </c>
      <c r="Q39" s="3">
        <f t="shared" si="24"/>
        <v>3.3000000000000003</v>
      </c>
      <c r="R39" s="3">
        <f>IF(C39&gt;65,0,IF(OR(AND(子1!C39&gt;=0,子1!C39&lt;=18),AND(子2!C39&gt;=0,子2!C39&lt;=18),AND(子3!C39&gt;=0,子3!C39&lt;=18),AND(子4!C39&gt;=0,子4!C39&lt;=18)),入力!$D$35,入力!$D$34)*12)</f>
        <v>12</v>
      </c>
      <c r="S39" s="14"/>
      <c r="T39" s="18">
        <f t="shared" si="18"/>
        <v>76.02000000000001</v>
      </c>
      <c r="U39" s="24">
        <f t="shared" si="19"/>
        <v>342.04632000000004</v>
      </c>
      <c r="V39" s="3">
        <f t="shared" si="5"/>
        <v>6</v>
      </c>
      <c r="W39" s="3">
        <f t="shared" si="5"/>
        <v>2.4000000000000004</v>
      </c>
      <c r="X39" s="3"/>
      <c r="Y39" s="3"/>
      <c r="Z39" s="3"/>
      <c r="AA39" s="3"/>
      <c r="AB39" s="14"/>
      <c r="AC39" s="18">
        <f t="shared" si="20"/>
        <v>8.4</v>
      </c>
      <c r="AD39" s="24">
        <f t="shared" si="21"/>
        <v>333.64632000000006</v>
      </c>
      <c r="AE39" s="5">
        <f t="shared" si="11"/>
        <v>36</v>
      </c>
      <c r="AF39" s="3"/>
      <c r="AG39" s="3"/>
      <c r="AH39" s="3"/>
      <c r="AI39" s="3"/>
      <c r="AJ39" s="14"/>
      <c r="AK39" s="18">
        <f t="shared" si="12"/>
        <v>36</v>
      </c>
      <c r="AL39" s="24">
        <f t="shared" si="22"/>
        <v>297.64632000000006</v>
      </c>
      <c r="AM39" s="24">
        <f t="shared" si="23"/>
        <v>9782.0564400000021</v>
      </c>
      <c r="AQ39" s="24"/>
      <c r="AS39">
        <f>(親2!E39&lt;103)*1+AND(子1!C39&gt;=0,子1!C39&lt;15)*1+AND(子2!C39&gt;=0,子2!C39&lt;15)*1+AND(子3!C39&gt;=0,子3!C39&lt;15)*1+AND(子4!C39&gt;=0,子4!C39&lt;15)*1</f>
        <v>0</v>
      </c>
      <c r="AT39">
        <f>AND(子1!AC39&gt;0)*1+AND(子2!AC39&gt;0)*1+AND(子3!AC39&gt;0)*1+AND(子4!AC39&gt;0)*1</f>
        <v>0</v>
      </c>
      <c r="AU39" t="str">
        <f t="shared" si="13"/>
        <v>夫婦</v>
      </c>
      <c r="AV39" s="1">
        <f>IF(D39,VLOOKUP(D39,年収と手取り!C:I,7,1),0)/9.1%</f>
        <v>530.90109890109886</v>
      </c>
    </row>
    <row r="40" spans="2:48" x14ac:dyDescent="0.25">
      <c r="B40" s="5">
        <f t="shared" ref="B40:B70" si="25">B39+1</f>
        <v>53</v>
      </c>
      <c r="C40" s="3">
        <f t="shared" si="15"/>
        <v>58</v>
      </c>
      <c r="D40" s="34">
        <f>IF(C40&gt;入力!$D$22,0,VLOOKUP(C40,賃金カーブ!R:T,3,0))</f>
        <v>507.09589535877654</v>
      </c>
      <c r="E40" s="3">
        <f>VLOOKUP(D40,年収と手取り!X:Y,2,1)</f>
        <v>388.84248000000002</v>
      </c>
      <c r="F40" s="3">
        <f>入力!$E$28</f>
        <v>0</v>
      </c>
      <c r="G40" s="3">
        <f>IF(C40=入力!D$22,入力!E$31,0)</f>
        <v>0</v>
      </c>
      <c r="H40" s="3">
        <f t="shared" si="17"/>
        <v>0</v>
      </c>
      <c r="I40" s="14">
        <f>IF(H40&gt;0,-年金の税金!$G$24/10000,0)</f>
        <v>0</v>
      </c>
      <c r="J40" s="24">
        <f t="shared" ref="J40:J70" si="26">SUM(E40:I40)</f>
        <v>388.84248000000002</v>
      </c>
      <c r="K40" s="5"/>
      <c r="L40" s="3"/>
      <c r="M40" s="3">
        <f t="shared" si="24"/>
        <v>35.640000000000008</v>
      </c>
      <c r="N40" s="3">
        <f t="shared" si="24"/>
        <v>13.200000000000001</v>
      </c>
      <c r="O40" s="3">
        <f t="shared" si="24"/>
        <v>6.6000000000000005</v>
      </c>
      <c r="P40" s="3">
        <f t="shared" si="24"/>
        <v>5.2800000000000011</v>
      </c>
      <c r="Q40" s="3">
        <f t="shared" si="24"/>
        <v>3.3000000000000003</v>
      </c>
      <c r="R40" s="3">
        <f>IF(C40&gt;65,0,IF(OR(AND(子1!C40&gt;=0,子1!C40&lt;=18),AND(子2!C40&gt;=0,子2!C40&lt;=18),AND(子3!C40&gt;=0,子3!C40&lt;=18),AND(子4!C40&gt;=0,子4!C40&lt;=18)),入力!$D$35,入力!$D$34)*12)</f>
        <v>12</v>
      </c>
      <c r="S40" s="14"/>
      <c r="T40" s="18">
        <f t="shared" si="18"/>
        <v>76.02000000000001</v>
      </c>
      <c r="U40" s="24">
        <f t="shared" si="19"/>
        <v>312.82248000000004</v>
      </c>
      <c r="V40" s="3">
        <f t="shared" si="5"/>
        <v>6</v>
      </c>
      <c r="W40" s="3">
        <f t="shared" si="5"/>
        <v>2.4000000000000004</v>
      </c>
      <c r="X40" s="3"/>
      <c r="Y40" s="3"/>
      <c r="Z40" s="3"/>
      <c r="AA40" s="3"/>
      <c r="AB40" s="14"/>
      <c r="AC40" s="18">
        <f t="shared" si="20"/>
        <v>8.4</v>
      </c>
      <c r="AD40" s="24">
        <f t="shared" si="21"/>
        <v>304.42248000000006</v>
      </c>
      <c r="AE40" s="5">
        <f t="shared" si="11"/>
        <v>36</v>
      </c>
      <c r="AF40" s="3"/>
      <c r="AG40" s="3"/>
      <c r="AH40" s="3"/>
      <c r="AI40" s="3"/>
      <c r="AJ40" s="14"/>
      <c r="AK40" s="18">
        <f t="shared" si="12"/>
        <v>36</v>
      </c>
      <c r="AL40" s="24">
        <f t="shared" si="22"/>
        <v>268.42248000000006</v>
      </c>
      <c r="AM40" s="24">
        <f t="shared" si="23"/>
        <v>10050.478920000001</v>
      </c>
      <c r="AQ40" s="24"/>
      <c r="AS40">
        <f>(親2!E40&lt;103)*1+AND(子1!C40&gt;=0,子1!C40&lt;15)*1+AND(子2!C40&gt;=0,子2!C40&lt;15)*1+AND(子3!C40&gt;=0,子3!C40&lt;15)*1+AND(子4!C40&gt;=0,子4!C40&lt;15)*1</f>
        <v>0</v>
      </c>
      <c r="AT40">
        <f>AND(子1!AC40&gt;0)*1+AND(子2!AC40&gt;0)*1+AND(子3!AC40&gt;0)*1+AND(子4!AC40&gt;0)*1</f>
        <v>0</v>
      </c>
      <c r="AU40" t="str">
        <f t="shared" si="13"/>
        <v>夫婦</v>
      </c>
      <c r="AV40" s="1">
        <f>IF(D40,VLOOKUP(D40,年収と手取り!C:I,7,1),0)/9.1%</f>
        <v>494.7032967032967</v>
      </c>
    </row>
    <row r="41" spans="2:48" x14ac:dyDescent="0.25">
      <c r="B41" s="5">
        <f t="shared" si="25"/>
        <v>54</v>
      </c>
      <c r="C41" s="3">
        <f t="shared" si="15"/>
        <v>59</v>
      </c>
      <c r="D41" s="34">
        <f>IF(C41&gt;入力!$D$22,0,VLOOKUP(C41,賃金カーブ!R:T,3,0))</f>
        <v>471.04336004245619</v>
      </c>
      <c r="E41" s="3">
        <f>VLOOKUP(D41,年収と手取り!X:Y,2,1)</f>
        <v>368.01864</v>
      </c>
      <c r="F41" s="3">
        <f>入力!$E$28</f>
        <v>0</v>
      </c>
      <c r="G41" s="3">
        <f>IF(C41=入力!D$22,入力!E$31,0)</f>
        <v>0</v>
      </c>
      <c r="H41" s="3">
        <f t="shared" si="17"/>
        <v>0</v>
      </c>
      <c r="I41" s="14">
        <f>IF(H41&gt;0,-年金の税金!$G$24/10000,0)</f>
        <v>0</v>
      </c>
      <c r="J41" s="24">
        <f t="shared" si="26"/>
        <v>368.01864</v>
      </c>
      <c r="K41" s="5"/>
      <c r="L41" s="3"/>
      <c r="M41" s="3">
        <f t="shared" si="24"/>
        <v>35.640000000000008</v>
      </c>
      <c r="N41" s="3">
        <f t="shared" si="24"/>
        <v>13.200000000000001</v>
      </c>
      <c r="O41" s="3">
        <f t="shared" si="24"/>
        <v>6.6000000000000005</v>
      </c>
      <c r="P41" s="3">
        <f t="shared" si="24"/>
        <v>5.2800000000000011</v>
      </c>
      <c r="Q41" s="3">
        <f t="shared" si="24"/>
        <v>3.3000000000000003</v>
      </c>
      <c r="R41" s="3">
        <f>IF(C41&gt;65,0,IF(OR(AND(子1!C41&gt;=0,子1!C41&lt;=18),AND(子2!C41&gt;=0,子2!C41&lt;=18),AND(子3!C41&gt;=0,子3!C41&lt;=18),AND(子4!C41&gt;=0,子4!C41&lt;=18)),入力!$D$35,入力!$D$34)*12)</f>
        <v>12</v>
      </c>
      <c r="S41" s="14"/>
      <c r="T41" s="18">
        <f t="shared" si="18"/>
        <v>76.02000000000001</v>
      </c>
      <c r="U41" s="24">
        <f t="shared" si="19"/>
        <v>291.99864000000002</v>
      </c>
      <c r="V41" s="3">
        <f t="shared" si="5"/>
        <v>6</v>
      </c>
      <c r="W41" s="3">
        <f t="shared" si="5"/>
        <v>2.4000000000000004</v>
      </c>
      <c r="X41" s="3"/>
      <c r="Y41" s="3"/>
      <c r="Z41" s="3"/>
      <c r="AA41" s="3"/>
      <c r="AB41" s="14"/>
      <c r="AC41" s="18">
        <f t="shared" si="20"/>
        <v>8.4</v>
      </c>
      <c r="AD41" s="24">
        <f t="shared" si="21"/>
        <v>283.59864000000005</v>
      </c>
      <c r="AE41" s="5">
        <f t="shared" si="11"/>
        <v>36</v>
      </c>
      <c r="AF41" s="3"/>
      <c r="AG41" s="3"/>
      <c r="AH41" s="3"/>
      <c r="AI41" s="3"/>
      <c r="AJ41" s="14"/>
      <c r="AK41" s="18">
        <f t="shared" si="12"/>
        <v>36</v>
      </c>
      <c r="AL41" s="24">
        <f t="shared" si="22"/>
        <v>247.59864000000005</v>
      </c>
      <c r="AM41" s="24">
        <f t="shared" si="23"/>
        <v>10298.077560000002</v>
      </c>
      <c r="AQ41" s="24"/>
      <c r="AS41">
        <f>(親2!E41&lt;103)*1+AND(子1!C41&gt;=0,子1!C41&lt;15)*1+AND(子2!C41&gt;=0,子2!C41&lt;15)*1+AND(子3!C41&gt;=0,子3!C41&lt;15)*1+AND(子4!C41&gt;=0,子4!C41&lt;15)*1</f>
        <v>0</v>
      </c>
      <c r="AT41">
        <f>AND(子1!AC41&gt;0)*1+AND(子2!AC41&gt;0)*1+AND(子3!AC41&gt;0)*1+AND(子4!AC41&gt;0)*1</f>
        <v>0</v>
      </c>
      <c r="AU41" t="str">
        <f t="shared" si="13"/>
        <v>夫婦</v>
      </c>
      <c r="AV41" s="1">
        <f>IF(D41,VLOOKUP(D41,年収と手取り!C:I,7,1),0)/9.1%</f>
        <v>458.50549450549448</v>
      </c>
    </row>
    <row r="42" spans="2:48" x14ac:dyDescent="0.25">
      <c r="B42" s="5">
        <f t="shared" si="25"/>
        <v>55</v>
      </c>
      <c r="C42" s="3">
        <f t="shared" si="15"/>
        <v>60</v>
      </c>
      <c r="D42" s="34">
        <f>IF(C42&gt;入力!$D$22,0,VLOOKUP(C42,賃金カーブ!R:T,3,0))</f>
        <v>437.55401901469321</v>
      </c>
      <c r="E42" s="3">
        <f>VLOOKUP(D42,年収と手取り!X:Y,2,1)</f>
        <v>336.90395999999998</v>
      </c>
      <c r="F42" s="3">
        <f>入力!$E$28</f>
        <v>0</v>
      </c>
      <c r="G42" s="3">
        <f>IF(C42=入力!D$22,入力!E$31,0)</f>
        <v>0</v>
      </c>
      <c r="H42" s="3">
        <f t="shared" si="17"/>
        <v>0</v>
      </c>
      <c r="I42" s="14">
        <f>IF(H42&gt;0,-年金の税金!$G$24/10000,0)</f>
        <v>0</v>
      </c>
      <c r="J42" s="24">
        <f t="shared" si="26"/>
        <v>336.90395999999998</v>
      </c>
      <c r="K42" s="5"/>
      <c r="L42" s="3"/>
      <c r="M42" s="3">
        <f t="shared" si="24"/>
        <v>35.640000000000008</v>
      </c>
      <c r="N42" s="3">
        <f t="shared" si="24"/>
        <v>13.200000000000001</v>
      </c>
      <c r="O42" s="3">
        <f t="shared" si="24"/>
        <v>6.6000000000000005</v>
      </c>
      <c r="P42" s="3">
        <f t="shared" si="24"/>
        <v>5.2800000000000011</v>
      </c>
      <c r="Q42" s="3">
        <f t="shared" si="24"/>
        <v>3.3000000000000003</v>
      </c>
      <c r="R42" s="3">
        <f>IF(C42&gt;65,0,IF(OR(AND(子1!C42&gt;=0,子1!C42&lt;=18),AND(子2!C42&gt;=0,子2!C42&lt;=18),AND(子3!C42&gt;=0,子3!C42&lt;=18),AND(子4!C42&gt;=0,子4!C42&lt;=18)),入力!$D$35,入力!$D$34)*12)</f>
        <v>12</v>
      </c>
      <c r="S42" s="14"/>
      <c r="T42" s="18">
        <f t="shared" si="18"/>
        <v>76.02000000000001</v>
      </c>
      <c r="U42" s="24">
        <f t="shared" si="19"/>
        <v>260.88396</v>
      </c>
      <c r="V42" s="3">
        <f t="shared" si="5"/>
        <v>6</v>
      </c>
      <c r="W42" s="3">
        <f t="shared" si="5"/>
        <v>2.4000000000000004</v>
      </c>
      <c r="X42" s="3"/>
      <c r="Y42" s="3"/>
      <c r="Z42" s="3"/>
      <c r="AA42" s="3"/>
      <c r="AB42" s="14"/>
      <c r="AC42" s="18">
        <f t="shared" si="20"/>
        <v>8.4</v>
      </c>
      <c r="AD42" s="24">
        <f t="shared" si="21"/>
        <v>252.48396</v>
      </c>
      <c r="AE42" s="5">
        <f t="shared" si="11"/>
        <v>36</v>
      </c>
      <c r="AF42" s="3"/>
      <c r="AG42" s="3"/>
      <c r="AH42" s="3"/>
      <c r="AI42" s="3"/>
      <c r="AJ42" s="14"/>
      <c r="AK42" s="18">
        <f t="shared" si="12"/>
        <v>36</v>
      </c>
      <c r="AL42" s="24">
        <f t="shared" si="22"/>
        <v>216.48396</v>
      </c>
      <c r="AM42" s="24">
        <f t="shared" si="23"/>
        <v>10514.561520000001</v>
      </c>
      <c r="AQ42" s="24"/>
      <c r="AS42">
        <f>(親2!E42&lt;103)*1+AND(子1!C42&gt;=0,子1!C42&lt;15)*1+AND(子2!C42&gt;=0,子2!C42&lt;15)*1+AND(子3!C42&gt;=0,子3!C42&lt;15)*1+AND(子4!C42&gt;=0,子4!C42&lt;15)*1</f>
        <v>1</v>
      </c>
      <c r="AT42">
        <f>AND(子1!AC42&gt;0)*1+AND(子2!AC42&gt;0)*1+AND(子3!AC42&gt;0)*1+AND(子4!AC42&gt;0)*1</f>
        <v>0</v>
      </c>
      <c r="AU42" t="str">
        <f t="shared" si="13"/>
        <v>夫婦</v>
      </c>
      <c r="AV42" s="1">
        <f>IF(D42,VLOOKUP(D42,年収と手取り!C:I,7,1),0)/9.1%</f>
        <v>434.37362637362639</v>
      </c>
    </row>
    <row r="43" spans="2:48" x14ac:dyDescent="0.25">
      <c r="B43" s="5">
        <f t="shared" si="25"/>
        <v>56</v>
      </c>
      <c r="C43" s="3">
        <f t="shared" si="15"/>
        <v>61</v>
      </c>
      <c r="D43" s="34">
        <f>IF(C43&gt;入力!$D$22,0,VLOOKUP(C43,賃金カーブ!R:T,3,0))</f>
        <v>437.55401901469321</v>
      </c>
      <c r="E43" s="3">
        <f>VLOOKUP(D43,年収と手取り!X:Y,2,1)</f>
        <v>336.90395999999998</v>
      </c>
      <c r="F43" s="3">
        <f>入力!$E$28</f>
        <v>0</v>
      </c>
      <c r="G43" s="3">
        <f>IF(C43=入力!D$22,入力!E$31,0)</f>
        <v>0</v>
      </c>
      <c r="H43" s="3">
        <f t="shared" si="17"/>
        <v>0</v>
      </c>
      <c r="I43" s="14">
        <f>IF(H43&gt;0,-年金の税金!$G$24/10000,0)</f>
        <v>0</v>
      </c>
      <c r="J43" s="24">
        <f t="shared" si="26"/>
        <v>336.90395999999998</v>
      </c>
      <c r="K43" s="5"/>
      <c r="L43" s="3"/>
      <c r="M43" s="3">
        <f t="shared" si="24"/>
        <v>35.640000000000008</v>
      </c>
      <c r="N43" s="3">
        <f t="shared" si="24"/>
        <v>13.200000000000001</v>
      </c>
      <c r="O43" s="3">
        <f t="shared" si="24"/>
        <v>6.6000000000000005</v>
      </c>
      <c r="P43" s="3">
        <f t="shared" si="24"/>
        <v>5.2800000000000011</v>
      </c>
      <c r="Q43" s="3">
        <f t="shared" si="24"/>
        <v>3.3000000000000003</v>
      </c>
      <c r="R43" s="3">
        <f>IF(C43&gt;65,0,IF(OR(AND(子1!C43&gt;=0,子1!C43&lt;=18),AND(子2!C43&gt;=0,子2!C43&lt;=18),AND(子3!C43&gt;=0,子3!C43&lt;=18),AND(子4!C43&gt;=0,子4!C43&lt;=18)),入力!$D$35,入力!$D$34)*12)</f>
        <v>12</v>
      </c>
      <c r="S43" s="14"/>
      <c r="T43" s="18">
        <f t="shared" si="18"/>
        <v>76.02000000000001</v>
      </c>
      <c r="U43" s="24">
        <f t="shared" si="19"/>
        <v>260.88396</v>
      </c>
      <c r="V43" s="3">
        <f t="shared" si="5"/>
        <v>6</v>
      </c>
      <c r="W43" s="3">
        <f t="shared" si="5"/>
        <v>2.4000000000000004</v>
      </c>
      <c r="X43" s="3"/>
      <c r="Y43" s="3"/>
      <c r="Z43" s="3"/>
      <c r="AA43" s="3"/>
      <c r="AB43" s="14"/>
      <c r="AC43" s="18">
        <f t="shared" si="20"/>
        <v>8.4</v>
      </c>
      <c r="AD43" s="24">
        <f t="shared" si="21"/>
        <v>252.48396</v>
      </c>
      <c r="AE43" s="5">
        <f t="shared" si="11"/>
        <v>36</v>
      </c>
      <c r="AF43" s="3"/>
      <c r="AG43" s="3"/>
      <c r="AH43" s="3"/>
      <c r="AI43" s="3"/>
      <c r="AJ43" s="14"/>
      <c r="AK43" s="18">
        <f t="shared" si="12"/>
        <v>36</v>
      </c>
      <c r="AL43" s="24">
        <f t="shared" si="22"/>
        <v>216.48396</v>
      </c>
      <c r="AM43" s="24">
        <f t="shared" si="23"/>
        <v>10731.045480000001</v>
      </c>
      <c r="AQ43" s="24"/>
      <c r="AS43">
        <f>(親2!E43&lt;103)*1+AND(子1!C43&gt;=0,子1!C43&lt;15)*1+AND(子2!C43&gt;=0,子2!C43&lt;15)*1+AND(子3!C43&gt;=0,子3!C43&lt;15)*1+AND(子4!C43&gt;=0,子4!C43&lt;15)*1</f>
        <v>1</v>
      </c>
      <c r="AT43">
        <f>AND(子1!AC43&gt;0)*1+AND(子2!AC43&gt;0)*1+AND(子3!AC43&gt;0)*1+AND(子4!AC43&gt;0)*1</f>
        <v>0</v>
      </c>
      <c r="AU43" t="str">
        <f t="shared" si="13"/>
        <v>夫婦</v>
      </c>
      <c r="AV43" s="1">
        <f>IF(D43,VLOOKUP(D43,年収と手取り!C:I,7,1),0)/9.1%</f>
        <v>434.37362637362639</v>
      </c>
    </row>
    <row r="44" spans="2:48" x14ac:dyDescent="0.25">
      <c r="B44" s="5">
        <f t="shared" si="25"/>
        <v>57</v>
      </c>
      <c r="C44" s="3">
        <f t="shared" si="15"/>
        <v>62</v>
      </c>
      <c r="D44" s="34">
        <f>IF(C44&gt;入力!$D$22,0,VLOOKUP(C44,賃金カーブ!R:T,3,0))</f>
        <v>437.55401901469321</v>
      </c>
      <c r="E44" s="3">
        <f>VLOOKUP(D44,年収と手取り!X:Y,2,1)</f>
        <v>336.90395999999998</v>
      </c>
      <c r="F44" s="3">
        <f>入力!$E$28</f>
        <v>0</v>
      </c>
      <c r="G44" s="3">
        <f>IF(C44=入力!D$22,入力!E$31,0)</f>
        <v>0</v>
      </c>
      <c r="H44" s="3">
        <f t="shared" si="17"/>
        <v>0</v>
      </c>
      <c r="I44" s="14">
        <f>IF(H44&gt;0,-年金の税金!$G$24/10000,0)</f>
        <v>0</v>
      </c>
      <c r="J44" s="24">
        <f t="shared" si="26"/>
        <v>336.90395999999998</v>
      </c>
      <c r="K44" s="5"/>
      <c r="L44" s="3"/>
      <c r="M44" s="3">
        <f t="shared" si="24"/>
        <v>35.640000000000008</v>
      </c>
      <c r="N44" s="3">
        <f t="shared" si="24"/>
        <v>13.200000000000001</v>
      </c>
      <c r="O44" s="3">
        <f t="shared" si="24"/>
        <v>6.6000000000000005</v>
      </c>
      <c r="P44" s="3">
        <f t="shared" si="24"/>
        <v>5.2800000000000011</v>
      </c>
      <c r="Q44" s="3">
        <f t="shared" si="24"/>
        <v>3.3000000000000003</v>
      </c>
      <c r="R44" s="3">
        <f>IF(C44&gt;65,0,IF(OR(AND(子1!C44&gt;=0,子1!C44&lt;=18),AND(子2!C44&gt;=0,子2!C44&lt;=18),AND(子3!C44&gt;=0,子3!C44&lt;=18),AND(子4!C44&gt;=0,子4!C44&lt;=18)),入力!$D$35,入力!$D$34)*12)</f>
        <v>12</v>
      </c>
      <c r="S44" s="14"/>
      <c r="T44" s="18">
        <f t="shared" si="18"/>
        <v>76.02000000000001</v>
      </c>
      <c r="U44" s="24">
        <f t="shared" si="19"/>
        <v>260.88396</v>
      </c>
      <c r="V44" s="3">
        <f t="shared" si="5"/>
        <v>6</v>
      </c>
      <c r="W44" s="3">
        <f t="shared" si="5"/>
        <v>2.4000000000000004</v>
      </c>
      <c r="X44" s="3"/>
      <c r="Y44" s="3"/>
      <c r="Z44" s="3"/>
      <c r="AA44" s="3"/>
      <c r="AB44" s="14"/>
      <c r="AC44" s="18">
        <f t="shared" si="20"/>
        <v>8.4</v>
      </c>
      <c r="AD44" s="24">
        <f t="shared" si="21"/>
        <v>252.48396</v>
      </c>
      <c r="AE44" s="5">
        <f t="shared" si="11"/>
        <v>36</v>
      </c>
      <c r="AF44" s="3"/>
      <c r="AG44" s="3"/>
      <c r="AH44" s="3"/>
      <c r="AI44" s="3"/>
      <c r="AJ44" s="14"/>
      <c r="AK44" s="18">
        <f t="shared" si="12"/>
        <v>36</v>
      </c>
      <c r="AL44" s="24">
        <f t="shared" si="22"/>
        <v>216.48396</v>
      </c>
      <c r="AM44" s="24">
        <f t="shared" si="23"/>
        <v>10947.52944</v>
      </c>
      <c r="AQ44" s="24"/>
      <c r="AS44">
        <f>(親2!E44&lt;103)*1+AND(子1!C44&gt;=0,子1!C44&lt;15)*1+AND(子2!C44&gt;=0,子2!C44&lt;15)*1+AND(子3!C44&gt;=0,子3!C44&lt;15)*1+AND(子4!C44&gt;=0,子4!C44&lt;15)*1</f>
        <v>1</v>
      </c>
      <c r="AT44">
        <f>AND(子1!AC44&gt;0)*1+AND(子2!AC44&gt;0)*1+AND(子3!AC44&gt;0)*1+AND(子4!AC44&gt;0)*1</f>
        <v>0</v>
      </c>
      <c r="AU44" t="str">
        <f t="shared" si="13"/>
        <v>夫婦</v>
      </c>
      <c r="AV44" s="1">
        <f>IF(D44,VLOOKUP(D44,年収と手取り!C:I,7,1),0)/9.1%</f>
        <v>434.37362637362639</v>
      </c>
    </row>
    <row r="45" spans="2:48" x14ac:dyDescent="0.25">
      <c r="B45" s="5">
        <f t="shared" si="25"/>
        <v>58</v>
      </c>
      <c r="C45" s="3">
        <f t="shared" si="15"/>
        <v>63</v>
      </c>
      <c r="D45" s="34">
        <f>IF(C45&gt;入力!$D$22,0,VLOOKUP(C45,賃金カーブ!R:T,3,0))</f>
        <v>437.55401901469321</v>
      </c>
      <c r="E45" s="3">
        <f>VLOOKUP(D45,年収と手取り!X:Y,2,1)</f>
        <v>336.90395999999998</v>
      </c>
      <c r="F45" s="3">
        <f>入力!$E$28</f>
        <v>0</v>
      </c>
      <c r="G45" s="3">
        <f>IF(C45=入力!D$22,入力!E$31,0)</f>
        <v>0</v>
      </c>
      <c r="H45" s="3">
        <f t="shared" si="17"/>
        <v>0</v>
      </c>
      <c r="I45" s="14">
        <f>IF(H45&gt;0,-年金の税金!$G$24/10000,0)</f>
        <v>0</v>
      </c>
      <c r="J45" s="24">
        <f t="shared" si="26"/>
        <v>336.90395999999998</v>
      </c>
      <c r="K45" s="5"/>
      <c r="L45" s="3"/>
      <c r="M45" s="3">
        <f t="shared" si="24"/>
        <v>35.640000000000008</v>
      </c>
      <c r="N45" s="3">
        <f t="shared" si="24"/>
        <v>13.200000000000001</v>
      </c>
      <c r="O45" s="3">
        <f t="shared" si="24"/>
        <v>6.6000000000000005</v>
      </c>
      <c r="P45" s="3">
        <f t="shared" si="24"/>
        <v>5.2800000000000011</v>
      </c>
      <c r="Q45" s="3">
        <f t="shared" si="24"/>
        <v>3.3000000000000003</v>
      </c>
      <c r="R45" s="3">
        <f>IF(C45&gt;65,0,IF(OR(AND(子1!C45&gt;=0,子1!C45&lt;=18),AND(子2!C45&gt;=0,子2!C45&lt;=18),AND(子3!C45&gt;=0,子3!C45&lt;=18),AND(子4!C45&gt;=0,子4!C45&lt;=18)),入力!$D$35,入力!$D$34)*12)</f>
        <v>12</v>
      </c>
      <c r="S45" s="14"/>
      <c r="T45" s="18">
        <f t="shared" si="18"/>
        <v>76.02000000000001</v>
      </c>
      <c r="U45" s="24">
        <f t="shared" si="19"/>
        <v>260.88396</v>
      </c>
      <c r="V45" s="3">
        <f t="shared" si="5"/>
        <v>6</v>
      </c>
      <c r="W45" s="3">
        <f t="shared" si="5"/>
        <v>2.4000000000000004</v>
      </c>
      <c r="X45" s="3"/>
      <c r="Y45" s="3"/>
      <c r="Z45" s="3"/>
      <c r="AA45" s="3"/>
      <c r="AB45" s="14"/>
      <c r="AC45" s="18">
        <f t="shared" si="20"/>
        <v>8.4</v>
      </c>
      <c r="AD45" s="24">
        <f t="shared" si="21"/>
        <v>252.48396</v>
      </c>
      <c r="AE45" s="5">
        <f t="shared" si="11"/>
        <v>36</v>
      </c>
      <c r="AF45" s="3"/>
      <c r="AG45" s="3"/>
      <c r="AH45" s="3"/>
      <c r="AI45" s="3"/>
      <c r="AJ45" s="14"/>
      <c r="AK45" s="18">
        <f t="shared" si="12"/>
        <v>36</v>
      </c>
      <c r="AL45" s="24">
        <f t="shared" si="22"/>
        <v>216.48396</v>
      </c>
      <c r="AM45" s="24">
        <f t="shared" si="23"/>
        <v>11164.0134</v>
      </c>
      <c r="AQ45" s="24"/>
      <c r="AS45">
        <f>(親2!E45&lt;103)*1+AND(子1!C45&gt;=0,子1!C45&lt;15)*1+AND(子2!C45&gt;=0,子2!C45&lt;15)*1+AND(子3!C45&gt;=0,子3!C45&lt;15)*1+AND(子4!C45&gt;=0,子4!C45&lt;15)*1</f>
        <v>1</v>
      </c>
      <c r="AT45">
        <f>AND(子1!AC45&gt;0)*1+AND(子2!AC45&gt;0)*1+AND(子3!AC45&gt;0)*1+AND(子4!AC45&gt;0)*1</f>
        <v>0</v>
      </c>
      <c r="AU45" t="str">
        <f t="shared" si="13"/>
        <v>夫婦</v>
      </c>
      <c r="AV45" s="1">
        <f>IF(D45,VLOOKUP(D45,年収と手取り!C:I,7,1),0)/9.1%</f>
        <v>434.37362637362639</v>
      </c>
    </row>
    <row r="46" spans="2:48" x14ac:dyDescent="0.25">
      <c r="B46" s="5">
        <f t="shared" si="25"/>
        <v>59</v>
      </c>
      <c r="C46" s="3">
        <f t="shared" si="15"/>
        <v>64</v>
      </c>
      <c r="D46" s="34">
        <f>IF(C46&gt;入力!$D$22,0,VLOOKUP(C46,賃金カーブ!R:T,3,0))</f>
        <v>437.55401901469321</v>
      </c>
      <c r="E46" s="3">
        <f>VLOOKUP(D46,年収と手取り!X:Y,2,1)</f>
        <v>336.90395999999998</v>
      </c>
      <c r="F46" s="3">
        <f>入力!$E$28</f>
        <v>0</v>
      </c>
      <c r="G46" s="3">
        <f>IF(C46=入力!D$22,入力!E$31,0)</f>
        <v>0</v>
      </c>
      <c r="H46" s="3">
        <f t="shared" si="17"/>
        <v>0</v>
      </c>
      <c r="I46" s="14">
        <f>IF(H46&gt;0,-年金の税金!$G$24/10000,0)</f>
        <v>0</v>
      </c>
      <c r="J46" s="24">
        <f t="shared" si="26"/>
        <v>336.90395999999998</v>
      </c>
      <c r="K46" s="5"/>
      <c r="L46" s="3"/>
      <c r="M46" s="3">
        <f t="shared" si="24"/>
        <v>35.640000000000008</v>
      </c>
      <c r="N46" s="3">
        <f t="shared" si="24"/>
        <v>13.200000000000001</v>
      </c>
      <c r="O46" s="3">
        <f t="shared" si="24"/>
        <v>6.6000000000000005</v>
      </c>
      <c r="P46" s="3">
        <f t="shared" si="24"/>
        <v>5.2800000000000011</v>
      </c>
      <c r="Q46" s="3">
        <f t="shared" si="24"/>
        <v>3.3000000000000003</v>
      </c>
      <c r="R46" s="3">
        <f>IF(C46&gt;65,0,IF(OR(AND(子1!C46&gt;=0,子1!C46&lt;=18),AND(子2!C46&gt;=0,子2!C46&lt;=18),AND(子3!C46&gt;=0,子3!C46&lt;=18),AND(子4!C46&gt;=0,子4!C46&lt;=18)),入力!$D$35,入力!$D$34)*12)</f>
        <v>12</v>
      </c>
      <c r="S46" s="14"/>
      <c r="T46" s="18">
        <f t="shared" si="18"/>
        <v>76.02000000000001</v>
      </c>
      <c r="U46" s="24">
        <f t="shared" si="19"/>
        <v>260.88396</v>
      </c>
      <c r="V46" s="3">
        <f t="shared" si="5"/>
        <v>6</v>
      </c>
      <c r="W46" s="3">
        <f t="shared" si="5"/>
        <v>2.4000000000000004</v>
      </c>
      <c r="X46" s="3"/>
      <c r="Y46" s="3"/>
      <c r="Z46" s="3"/>
      <c r="AA46" s="3"/>
      <c r="AB46" s="14"/>
      <c r="AC46" s="18">
        <f t="shared" si="20"/>
        <v>8.4</v>
      </c>
      <c r="AD46" s="24">
        <f t="shared" si="21"/>
        <v>252.48396</v>
      </c>
      <c r="AE46" s="5">
        <f t="shared" si="11"/>
        <v>36</v>
      </c>
      <c r="AF46" s="3"/>
      <c r="AG46" s="3"/>
      <c r="AH46" s="3"/>
      <c r="AI46" s="3"/>
      <c r="AJ46" s="14"/>
      <c r="AK46" s="18">
        <f t="shared" si="12"/>
        <v>36</v>
      </c>
      <c r="AL46" s="24">
        <f t="shared" si="22"/>
        <v>216.48396</v>
      </c>
      <c r="AM46" s="24">
        <f t="shared" si="23"/>
        <v>11380.497359999999</v>
      </c>
      <c r="AQ46" s="24"/>
      <c r="AS46">
        <f>(親2!E46&lt;103)*1+AND(子1!C46&gt;=0,子1!C46&lt;15)*1+AND(子2!C46&gt;=0,子2!C46&lt;15)*1+AND(子3!C46&gt;=0,子3!C46&lt;15)*1+AND(子4!C46&gt;=0,子4!C46&lt;15)*1</f>
        <v>1</v>
      </c>
      <c r="AT46">
        <f>AND(子1!AC46&gt;0)*1+AND(子2!AC46&gt;0)*1+AND(子3!AC46&gt;0)*1+AND(子4!AC46&gt;0)*1</f>
        <v>0</v>
      </c>
      <c r="AU46" t="str">
        <f t="shared" si="13"/>
        <v>夫婦</v>
      </c>
      <c r="AV46" s="1">
        <f>IF(D46,VLOOKUP(D46,年収と手取り!C:I,7,1),0)/9.1%</f>
        <v>434.37362637362639</v>
      </c>
    </row>
    <row r="47" spans="2:48" x14ac:dyDescent="0.25">
      <c r="B47" s="5">
        <f t="shared" si="25"/>
        <v>60</v>
      </c>
      <c r="C47" s="3">
        <f t="shared" si="15"/>
        <v>65</v>
      </c>
      <c r="D47" s="34">
        <f>IF(C47&gt;入力!$D$22,0,VLOOKUP(C47,賃金カーブ!R:T,3,0))</f>
        <v>437.55401901469321</v>
      </c>
      <c r="E47" s="3">
        <f>VLOOKUP(D47,年収と手取り!X:Y,2,1)</f>
        <v>336.90395999999998</v>
      </c>
      <c r="F47" s="3">
        <f>入力!$E$28</f>
        <v>0</v>
      </c>
      <c r="G47" s="3">
        <f>IF(C47=入力!D$22,入力!E$31,0)</f>
        <v>0</v>
      </c>
      <c r="H47" s="3">
        <f t="shared" si="17"/>
        <v>0</v>
      </c>
      <c r="I47" s="14">
        <f>IF(H47&gt;0,-年金の税金!$G$24/10000,0)</f>
        <v>0</v>
      </c>
      <c r="J47" s="24">
        <f t="shared" si="26"/>
        <v>336.90395999999998</v>
      </c>
      <c r="K47" s="5"/>
      <c r="L47" s="3"/>
      <c r="M47" s="3">
        <f t="shared" si="24"/>
        <v>35.640000000000008</v>
      </c>
      <c r="N47" s="3">
        <f t="shared" si="24"/>
        <v>13.200000000000001</v>
      </c>
      <c r="O47" s="3">
        <f t="shared" si="24"/>
        <v>6.6000000000000005</v>
      </c>
      <c r="P47" s="3">
        <f t="shared" si="24"/>
        <v>5.2800000000000011</v>
      </c>
      <c r="Q47" s="3">
        <f t="shared" si="24"/>
        <v>3.3000000000000003</v>
      </c>
      <c r="R47" s="3">
        <f>IF(C47&gt;65,0,IF(OR(AND(子1!C47&gt;=0,子1!C47&lt;=18),AND(子2!C47&gt;=0,子2!C47&lt;=18),AND(子3!C47&gt;=0,子3!C47&lt;=18),AND(子4!C47&gt;=0,子4!C47&lt;=18)),入力!$D$35,入力!$D$34)*12)</f>
        <v>12</v>
      </c>
      <c r="S47" s="14"/>
      <c r="T47" s="18">
        <f t="shared" si="18"/>
        <v>76.02000000000001</v>
      </c>
      <c r="U47" s="24">
        <f t="shared" si="19"/>
        <v>260.88396</v>
      </c>
      <c r="V47" s="3">
        <f t="shared" si="5"/>
        <v>6</v>
      </c>
      <c r="W47" s="3">
        <f t="shared" si="5"/>
        <v>2.4000000000000004</v>
      </c>
      <c r="X47" s="3"/>
      <c r="Y47" s="3"/>
      <c r="Z47" s="3"/>
      <c r="AA47" s="3"/>
      <c r="AB47" s="14"/>
      <c r="AC47" s="18">
        <f t="shared" si="20"/>
        <v>8.4</v>
      </c>
      <c r="AD47" s="24">
        <f t="shared" si="21"/>
        <v>252.48396</v>
      </c>
      <c r="AE47" s="5">
        <f t="shared" si="11"/>
        <v>36</v>
      </c>
      <c r="AF47" s="3"/>
      <c r="AG47" s="3"/>
      <c r="AH47" s="3"/>
      <c r="AI47" s="3"/>
      <c r="AJ47" s="14"/>
      <c r="AK47" s="18">
        <f t="shared" si="12"/>
        <v>36</v>
      </c>
      <c r="AL47" s="24">
        <f t="shared" si="22"/>
        <v>216.48396</v>
      </c>
      <c r="AM47" s="24">
        <f t="shared" si="23"/>
        <v>11596.981319999999</v>
      </c>
      <c r="AQ47" s="24"/>
      <c r="AS47">
        <f>(親2!E47&lt;103)*1+AND(子1!C47&gt;=0,子1!C47&lt;15)*1+AND(子2!C47&gt;=0,子2!C47&lt;15)*1+AND(子3!C47&gt;=0,子3!C47&lt;15)*1+AND(子4!C47&gt;=0,子4!C47&lt;15)*1</f>
        <v>1</v>
      </c>
      <c r="AT47">
        <f>AND(子1!AC47&gt;0)*1+AND(子2!AC47&gt;0)*1+AND(子3!AC47&gt;0)*1+AND(子4!AC47&gt;0)*1</f>
        <v>0</v>
      </c>
      <c r="AU47" t="str">
        <f t="shared" si="13"/>
        <v>夫婦</v>
      </c>
      <c r="AV47" s="1">
        <f>IF(D47,VLOOKUP(D47,年収と手取り!C:I,7,1),0)/9.1%</f>
        <v>434.37362637362639</v>
      </c>
    </row>
    <row r="48" spans="2:48" x14ac:dyDescent="0.25">
      <c r="B48" s="5">
        <f t="shared" si="25"/>
        <v>61</v>
      </c>
      <c r="C48" s="3">
        <f t="shared" si="15"/>
        <v>66</v>
      </c>
      <c r="D48" s="34">
        <f>IF(C48&gt;入力!$D$22,0,VLOOKUP(C48,賃金カーブ!R:T,3,0))</f>
        <v>0</v>
      </c>
      <c r="E48" s="3">
        <f>VLOOKUP(D48,年収と手取り!X:Y,2,1)</f>
        <v>0</v>
      </c>
      <c r="F48" s="3">
        <f>入力!$E$28</f>
        <v>0</v>
      </c>
      <c r="G48" s="3">
        <f>IF(C48=入力!D$22,入力!E$31,0)</f>
        <v>0</v>
      </c>
      <c r="H48" s="3">
        <f t="shared" si="17"/>
        <v>199.66338323076928</v>
      </c>
      <c r="I48" s="14">
        <f>IF(H48&gt;0,-年金の税金!$G$24/10000,0)</f>
        <v>-15.353239327484623</v>
      </c>
      <c r="J48" s="24">
        <f t="shared" si="26"/>
        <v>184.31014390328465</v>
      </c>
      <c r="K48" s="5"/>
      <c r="L48" s="3"/>
      <c r="M48" s="3">
        <f t="shared" si="24"/>
        <v>35.640000000000008</v>
      </c>
      <c r="N48" s="3">
        <f t="shared" si="24"/>
        <v>13.200000000000001</v>
      </c>
      <c r="O48" s="3">
        <f t="shared" si="24"/>
        <v>6.6000000000000005</v>
      </c>
      <c r="P48" s="3">
        <f t="shared" si="24"/>
        <v>5.2800000000000011</v>
      </c>
      <c r="Q48" s="3">
        <f t="shared" si="24"/>
        <v>3.3000000000000003</v>
      </c>
      <c r="R48" s="3">
        <f>IF(C48&gt;65,0,IF(OR(AND(子1!C48&gt;=0,子1!C48&lt;=18),AND(子2!C48&gt;=0,子2!C48&lt;=18),AND(子3!C48&gt;=0,子3!C48&lt;=18),AND(子4!C48&gt;=0,子4!C48&lt;=18)),入力!$D$35,入力!$D$34)*12)</f>
        <v>0</v>
      </c>
      <c r="S48" s="14"/>
      <c r="T48" s="18">
        <f t="shared" si="18"/>
        <v>64.02000000000001</v>
      </c>
      <c r="U48" s="24">
        <f t="shared" si="19"/>
        <v>120.29014390328464</v>
      </c>
      <c r="V48" s="3">
        <f t="shared" si="5"/>
        <v>6</v>
      </c>
      <c r="W48" s="3">
        <f t="shared" si="5"/>
        <v>2.4000000000000004</v>
      </c>
      <c r="X48" s="3"/>
      <c r="Y48" s="3"/>
      <c r="Z48" s="3"/>
      <c r="AA48" s="3"/>
      <c r="AB48" s="14"/>
      <c r="AC48" s="18">
        <f t="shared" si="20"/>
        <v>8.4</v>
      </c>
      <c r="AD48" s="24">
        <f t="shared" si="21"/>
        <v>111.89014390328464</v>
      </c>
      <c r="AE48" s="5">
        <f t="shared" si="11"/>
        <v>36</v>
      </c>
      <c r="AF48" s="3"/>
      <c r="AG48" s="3"/>
      <c r="AH48" s="3"/>
      <c r="AI48" s="3"/>
      <c r="AJ48" s="14"/>
      <c r="AK48" s="18">
        <f t="shared" si="12"/>
        <v>36</v>
      </c>
      <c r="AL48" s="24">
        <f t="shared" si="22"/>
        <v>75.890143903284638</v>
      </c>
      <c r="AM48" s="24">
        <f t="shared" si="23"/>
        <v>11672.871463903284</v>
      </c>
      <c r="AQ48" s="24"/>
      <c r="AS48">
        <f>(親2!E48&lt;103)*1+AND(子1!C48&gt;=0,子1!C48&lt;15)*1+AND(子2!C48&gt;=0,子2!C48&lt;15)*1+AND(子3!C48&gt;=0,子3!C48&lt;15)*1+AND(子4!C48&gt;=0,子4!C48&lt;15)*1</f>
        <v>1</v>
      </c>
      <c r="AT48">
        <f>AND(子1!AC48&gt;0)*1+AND(子2!AC48&gt;0)*1+AND(子3!AC48&gt;0)*1+AND(子4!AC48&gt;0)*1</f>
        <v>0</v>
      </c>
      <c r="AU48" t="str">
        <f t="shared" si="13"/>
        <v>夫婦</v>
      </c>
      <c r="AV48" s="1">
        <f>IF(D48,VLOOKUP(D48,年収と手取り!C:I,7,1),0)/9.1%</f>
        <v>0</v>
      </c>
    </row>
    <row r="49" spans="2:48" x14ac:dyDescent="0.25">
      <c r="B49" s="5">
        <f t="shared" si="25"/>
        <v>62</v>
      </c>
      <c r="C49" s="3">
        <f t="shared" si="15"/>
        <v>67</v>
      </c>
      <c r="D49" s="34">
        <f>IF(C49&gt;入力!$D$22,0,VLOOKUP(C49,賃金カーブ!R:T,3,0))</f>
        <v>0</v>
      </c>
      <c r="E49" s="3">
        <f>VLOOKUP(D49,年収と手取り!X:Y,2,1)</f>
        <v>0</v>
      </c>
      <c r="F49" s="3">
        <f>入力!$E$28</f>
        <v>0</v>
      </c>
      <c r="G49" s="3">
        <f>IF(C49=入力!D$22,入力!E$31,0)</f>
        <v>0</v>
      </c>
      <c r="H49" s="3">
        <f t="shared" si="17"/>
        <v>199.66338323076928</v>
      </c>
      <c r="I49" s="14">
        <f>IF(H49&gt;0,-年金の税金!$G$24/10000,0)</f>
        <v>-15.353239327484623</v>
      </c>
      <c r="J49" s="24">
        <f t="shared" si="26"/>
        <v>184.31014390328465</v>
      </c>
      <c r="K49" s="5"/>
      <c r="L49" s="3"/>
      <c r="M49" s="3">
        <f t="shared" si="24"/>
        <v>35.640000000000008</v>
      </c>
      <c r="N49" s="3">
        <f t="shared" si="24"/>
        <v>13.200000000000001</v>
      </c>
      <c r="O49" s="3">
        <f t="shared" si="24"/>
        <v>6.6000000000000005</v>
      </c>
      <c r="P49" s="3">
        <f t="shared" si="24"/>
        <v>5.2800000000000011</v>
      </c>
      <c r="Q49" s="3">
        <f t="shared" si="24"/>
        <v>3.3000000000000003</v>
      </c>
      <c r="R49" s="3">
        <f>IF(C49&gt;65,0,IF(OR(AND(子1!C49&gt;=0,子1!C49&lt;=18),AND(子2!C49&gt;=0,子2!C49&lt;=18),AND(子3!C49&gt;=0,子3!C49&lt;=18),AND(子4!C49&gt;=0,子4!C49&lt;=18)),入力!$D$35,入力!$D$34)*12)</f>
        <v>0</v>
      </c>
      <c r="S49" s="14"/>
      <c r="T49" s="18">
        <f t="shared" si="18"/>
        <v>64.02000000000001</v>
      </c>
      <c r="U49" s="24">
        <f t="shared" si="19"/>
        <v>120.29014390328464</v>
      </c>
      <c r="V49" s="3">
        <f t="shared" si="5"/>
        <v>6</v>
      </c>
      <c r="W49" s="3">
        <f t="shared" si="5"/>
        <v>2.4000000000000004</v>
      </c>
      <c r="X49" s="3"/>
      <c r="Y49" s="3"/>
      <c r="Z49" s="3"/>
      <c r="AA49" s="3"/>
      <c r="AB49" s="14"/>
      <c r="AC49" s="18">
        <f t="shared" si="20"/>
        <v>8.4</v>
      </c>
      <c r="AD49" s="24">
        <f t="shared" si="21"/>
        <v>111.89014390328464</v>
      </c>
      <c r="AE49" s="5">
        <f t="shared" si="11"/>
        <v>36</v>
      </c>
      <c r="AF49" s="3"/>
      <c r="AG49" s="3"/>
      <c r="AH49" s="3"/>
      <c r="AI49" s="3"/>
      <c r="AJ49" s="14"/>
      <c r="AK49" s="18">
        <f t="shared" si="12"/>
        <v>36</v>
      </c>
      <c r="AL49" s="24">
        <f t="shared" si="22"/>
        <v>75.890143903284638</v>
      </c>
      <c r="AM49" s="24">
        <f t="shared" si="23"/>
        <v>11748.761607806569</v>
      </c>
      <c r="AQ49" s="24"/>
      <c r="AS49">
        <f>(親2!E49&lt;103)*1+AND(子1!C49&gt;=0,子1!C49&lt;15)*1+AND(子2!C49&gt;=0,子2!C49&lt;15)*1+AND(子3!C49&gt;=0,子3!C49&lt;15)*1+AND(子4!C49&gt;=0,子4!C49&lt;15)*1</f>
        <v>1</v>
      </c>
      <c r="AT49">
        <f>AND(子1!AC49&gt;0)*1+AND(子2!AC49&gt;0)*1+AND(子3!AC49&gt;0)*1+AND(子4!AC49&gt;0)*1</f>
        <v>0</v>
      </c>
      <c r="AU49" t="str">
        <f t="shared" si="13"/>
        <v>夫婦</v>
      </c>
      <c r="AV49" s="1">
        <f>IF(D49,VLOOKUP(D49,年収と手取り!C:I,7,1),0)/9.1%</f>
        <v>0</v>
      </c>
    </row>
    <row r="50" spans="2:48" x14ac:dyDescent="0.25">
      <c r="B50" s="5">
        <f t="shared" si="25"/>
        <v>63</v>
      </c>
      <c r="C50" s="3">
        <f t="shared" si="15"/>
        <v>68</v>
      </c>
      <c r="D50" s="34">
        <f>IF(C50&gt;入力!$D$22,0,VLOOKUP(C50,賃金カーブ!R:T,3,0))</f>
        <v>0</v>
      </c>
      <c r="E50" s="3">
        <f>VLOOKUP(D50,年収と手取り!X:Y,2,1)</f>
        <v>0</v>
      </c>
      <c r="F50" s="3">
        <f>入力!$E$28</f>
        <v>0</v>
      </c>
      <c r="G50" s="3">
        <f>IF(C50=入力!D$22,入力!E$31,0)</f>
        <v>0</v>
      </c>
      <c r="H50" s="3">
        <f t="shared" si="17"/>
        <v>199.66338323076928</v>
      </c>
      <c r="I50" s="14">
        <f>IF(H50&gt;0,-年金の税金!$G$24/10000,0)</f>
        <v>-15.353239327484623</v>
      </c>
      <c r="J50" s="24">
        <f t="shared" si="26"/>
        <v>184.31014390328465</v>
      </c>
      <c r="K50" s="5"/>
      <c r="L50" s="3"/>
      <c r="M50" s="3">
        <f t="shared" si="24"/>
        <v>35.640000000000008</v>
      </c>
      <c r="N50" s="3">
        <f t="shared" si="24"/>
        <v>13.200000000000001</v>
      </c>
      <c r="O50" s="3">
        <f t="shared" si="24"/>
        <v>6.6000000000000005</v>
      </c>
      <c r="P50" s="3">
        <f t="shared" si="24"/>
        <v>5.2800000000000011</v>
      </c>
      <c r="Q50" s="3">
        <f t="shared" si="24"/>
        <v>3.3000000000000003</v>
      </c>
      <c r="R50" s="3">
        <f>IF(C50&gt;65,0,IF(OR(AND(子1!C50&gt;=0,子1!C50&lt;=18),AND(子2!C50&gt;=0,子2!C50&lt;=18),AND(子3!C50&gt;=0,子3!C50&lt;=18),AND(子4!C50&gt;=0,子4!C50&lt;=18)),入力!$D$35,入力!$D$34)*12)</f>
        <v>0</v>
      </c>
      <c r="S50" s="14"/>
      <c r="T50" s="18">
        <f t="shared" si="18"/>
        <v>64.02000000000001</v>
      </c>
      <c r="U50" s="24">
        <f t="shared" si="19"/>
        <v>120.29014390328464</v>
      </c>
      <c r="V50" s="3">
        <f t="shared" si="5"/>
        <v>6</v>
      </c>
      <c r="W50" s="3">
        <f t="shared" si="5"/>
        <v>2.4000000000000004</v>
      </c>
      <c r="X50" s="3"/>
      <c r="Y50" s="3"/>
      <c r="Z50" s="3"/>
      <c r="AA50" s="3"/>
      <c r="AB50" s="14"/>
      <c r="AC50" s="18">
        <f t="shared" si="20"/>
        <v>8.4</v>
      </c>
      <c r="AD50" s="24">
        <f t="shared" si="21"/>
        <v>111.89014390328464</v>
      </c>
      <c r="AE50" s="5">
        <f t="shared" si="11"/>
        <v>36</v>
      </c>
      <c r="AF50" s="3"/>
      <c r="AG50" s="3"/>
      <c r="AH50" s="3"/>
      <c r="AI50" s="3"/>
      <c r="AJ50" s="14"/>
      <c r="AK50" s="18">
        <f t="shared" si="12"/>
        <v>36</v>
      </c>
      <c r="AL50" s="24">
        <f t="shared" si="22"/>
        <v>75.890143903284638</v>
      </c>
      <c r="AM50" s="24">
        <f t="shared" si="23"/>
        <v>11824.651751709855</v>
      </c>
      <c r="AQ50" s="24"/>
      <c r="AS50">
        <f>(親2!E50&lt;103)*1+AND(子1!C50&gt;=0,子1!C50&lt;15)*1+AND(子2!C50&gt;=0,子2!C50&lt;15)*1+AND(子3!C50&gt;=0,子3!C50&lt;15)*1+AND(子4!C50&gt;=0,子4!C50&lt;15)*1</f>
        <v>1</v>
      </c>
      <c r="AT50">
        <f>AND(子1!AC50&gt;0)*1+AND(子2!AC50&gt;0)*1+AND(子3!AC50&gt;0)*1+AND(子4!AC50&gt;0)*1</f>
        <v>0</v>
      </c>
      <c r="AU50" t="str">
        <f t="shared" si="13"/>
        <v>夫婦</v>
      </c>
      <c r="AV50" s="1">
        <f>IF(D50,VLOOKUP(D50,年収と手取り!C:I,7,1),0)/9.1%</f>
        <v>0</v>
      </c>
    </row>
    <row r="51" spans="2:48" x14ac:dyDescent="0.25">
      <c r="B51" s="5">
        <f t="shared" si="25"/>
        <v>64</v>
      </c>
      <c r="C51" s="3">
        <f t="shared" si="15"/>
        <v>69</v>
      </c>
      <c r="D51" s="34">
        <f>IF(C51&gt;入力!$D$22,0,VLOOKUP(C51,賃金カーブ!R:T,3,0))</f>
        <v>0</v>
      </c>
      <c r="E51" s="3">
        <f>VLOOKUP(D51,年収と手取り!X:Y,2,1)</f>
        <v>0</v>
      </c>
      <c r="F51" s="3">
        <f>入力!$E$28</f>
        <v>0</v>
      </c>
      <c r="G51" s="3">
        <f>IF(C51=入力!D$22,入力!E$31,0)</f>
        <v>0</v>
      </c>
      <c r="H51" s="3">
        <f t="shared" si="17"/>
        <v>199.66338323076928</v>
      </c>
      <c r="I51" s="14">
        <f>IF(H51&gt;0,-年金の税金!$G$24/10000,0)</f>
        <v>-15.353239327484623</v>
      </c>
      <c r="J51" s="24">
        <f t="shared" si="26"/>
        <v>184.31014390328465</v>
      </c>
      <c r="K51" s="5"/>
      <c r="L51" s="3"/>
      <c r="M51" s="3">
        <f t="shared" si="24"/>
        <v>35.640000000000008</v>
      </c>
      <c r="N51" s="3">
        <f t="shared" si="24"/>
        <v>13.200000000000001</v>
      </c>
      <c r="O51" s="3">
        <f t="shared" si="24"/>
        <v>6.6000000000000005</v>
      </c>
      <c r="P51" s="3">
        <f t="shared" si="24"/>
        <v>5.2800000000000011</v>
      </c>
      <c r="Q51" s="3">
        <f t="shared" si="24"/>
        <v>3.3000000000000003</v>
      </c>
      <c r="R51" s="3">
        <f>IF(C51&gt;65,0,IF(OR(AND(子1!C51&gt;=0,子1!C51&lt;=18),AND(子2!C51&gt;=0,子2!C51&lt;=18),AND(子3!C51&gt;=0,子3!C51&lt;=18),AND(子4!C51&gt;=0,子4!C51&lt;=18)),入力!$D$35,入力!$D$34)*12)</f>
        <v>0</v>
      </c>
      <c r="S51" s="14"/>
      <c r="T51" s="18">
        <f t="shared" si="18"/>
        <v>64.02000000000001</v>
      </c>
      <c r="U51" s="24">
        <f t="shared" si="19"/>
        <v>120.29014390328464</v>
      </c>
      <c r="V51" s="3">
        <f t="shared" si="5"/>
        <v>6</v>
      </c>
      <c r="W51" s="3">
        <f t="shared" si="5"/>
        <v>2.4000000000000004</v>
      </c>
      <c r="X51" s="3"/>
      <c r="Y51" s="3"/>
      <c r="Z51" s="3"/>
      <c r="AA51" s="3"/>
      <c r="AB51" s="14"/>
      <c r="AC51" s="18">
        <f t="shared" si="20"/>
        <v>8.4</v>
      </c>
      <c r="AD51" s="24">
        <f t="shared" si="21"/>
        <v>111.89014390328464</v>
      </c>
      <c r="AE51" s="5">
        <f t="shared" si="11"/>
        <v>36</v>
      </c>
      <c r="AF51" s="3"/>
      <c r="AG51" s="3"/>
      <c r="AH51" s="3"/>
      <c r="AI51" s="3"/>
      <c r="AJ51" s="14"/>
      <c r="AK51" s="18">
        <f t="shared" si="12"/>
        <v>36</v>
      </c>
      <c r="AL51" s="24">
        <f t="shared" si="22"/>
        <v>75.890143903284638</v>
      </c>
      <c r="AM51" s="24">
        <f t="shared" si="23"/>
        <v>11900.54189561314</v>
      </c>
      <c r="AQ51" s="24"/>
      <c r="AS51">
        <f>(親2!E51&lt;103)*1+AND(子1!C51&gt;=0,子1!C51&lt;15)*1+AND(子2!C51&gt;=0,子2!C51&lt;15)*1+AND(子3!C51&gt;=0,子3!C51&lt;15)*1+AND(子4!C51&gt;=0,子4!C51&lt;15)*1</f>
        <v>1</v>
      </c>
      <c r="AT51">
        <f>AND(子1!AC51&gt;0)*1+AND(子2!AC51&gt;0)*1+AND(子3!AC51&gt;0)*1+AND(子4!AC51&gt;0)*1</f>
        <v>0</v>
      </c>
      <c r="AU51" t="str">
        <f t="shared" si="13"/>
        <v>夫婦</v>
      </c>
      <c r="AV51" s="1">
        <f>IF(D51,VLOOKUP(D51,年収と手取り!C:I,7,1),0)/9.1%</f>
        <v>0</v>
      </c>
    </row>
    <row r="52" spans="2:48" x14ac:dyDescent="0.25">
      <c r="B52" s="5">
        <f t="shared" si="25"/>
        <v>65</v>
      </c>
      <c r="C52" s="3">
        <f t="shared" si="15"/>
        <v>70</v>
      </c>
      <c r="D52" s="34">
        <f>IF(C52&gt;入力!$D$22,0,VLOOKUP(C52,賃金カーブ!R:T,3,0))</f>
        <v>0</v>
      </c>
      <c r="E52" s="3">
        <f>VLOOKUP(D52,年収と手取り!X:Y,2,1)</f>
        <v>0</v>
      </c>
      <c r="F52" s="3">
        <f>入力!$E$28</f>
        <v>0</v>
      </c>
      <c r="G52" s="3">
        <f>IF(C52=入力!D$22,入力!E$31,0)</f>
        <v>0</v>
      </c>
      <c r="H52" s="3">
        <f t="shared" si="17"/>
        <v>199.66338323076928</v>
      </c>
      <c r="I52" s="14">
        <f>IF(H52&gt;0,-年金の税金!$G$24/10000,0)</f>
        <v>-15.353239327484623</v>
      </c>
      <c r="J52" s="24">
        <f t="shared" si="26"/>
        <v>184.31014390328465</v>
      </c>
      <c r="K52" s="5"/>
      <c r="L52" s="3"/>
      <c r="M52" s="3">
        <f t="shared" si="24"/>
        <v>35.640000000000008</v>
      </c>
      <c r="N52" s="3">
        <f t="shared" si="24"/>
        <v>13.200000000000001</v>
      </c>
      <c r="O52" s="3">
        <f t="shared" si="24"/>
        <v>6.6000000000000005</v>
      </c>
      <c r="P52" s="3">
        <f t="shared" si="24"/>
        <v>5.2800000000000011</v>
      </c>
      <c r="Q52" s="3">
        <f t="shared" si="24"/>
        <v>3.3000000000000003</v>
      </c>
      <c r="R52" s="3">
        <f>IF(C52&gt;65,0,IF(OR(AND(子1!C52&gt;=0,子1!C52&lt;=18),AND(子2!C52&gt;=0,子2!C52&lt;=18),AND(子3!C52&gt;=0,子3!C52&lt;=18),AND(子4!C52&gt;=0,子4!C52&lt;=18)),入力!$D$35,入力!$D$34)*12)</f>
        <v>0</v>
      </c>
      <c r="S52" s="14"/>
      <c r="T52" s="18">
        <f t="shared" si="18"/>
        <v>64.02000000000001</v>
      </c>
      <c r="U52" s="24">
        <f t="shared" si="19"/>
        <v>120.29014390328464</v>
      </c>
      <c r="V52" s="3">
        <f t="shared" si="5"/>
        <v>6</v>
      </c>
      <c r="W52" s="3">
        <f t="shared" si="5"/>
        <v>2.4000000000000004</v>
      </c>
      <c r="X52" s="3"/>
      <c r="Y52" s="3"/>
      <c r="Z52" s="3"/>
      <c r="AA52" s="3"/>
      <c r="AB52" s="14"/>
      <c r="AC52" s="18">
        <f t="shared" si="20"/>
        <v>8.4</v>
      </c>
      <c r="AD52" s="24">
        <f t="shared" si="21"/>
        <v>111.89014390328464</v>
      </c>
      <c r="AE52" s="5">
        <f t="shared" si="11"/>
        <v>36</v>
      </c>
      <c r="AF52" s="3"/>
      <c r="AG52" s="3"/>
      <c r="AH52" s="3"/>
      <c r="AI52" s="3"/>
      <c r="AJ52" s="14"/>
      <c r="AK52" s="18">
        <f t="shared" si="12"/>
        <v>36</v>
      </c>
      <c r="AL52" s="24">
        <f t="shared" si="22"/>
        <v>75.890143903284638</v>
      </c>
      <c r="AM52" s="24">
        <f t="shared" si="23"/>
        <v>11976.432039516425</v>
      </c>
      <c r="AQ52" s="24"/>
      <c r="AS52">
        <f>(親2!E52&lt;103)*1+AND(子1!C52&gt;=0,子1!C52&lt;15)*1+AND(子2!C52&gt;=0,子2!C52&lt;15)*1+AND(子3!C52&gt;=0,子3!C52&lt;15)*1+AND(子4!C52&gt;=0,子4!C52&lt;15)*1</f>
        <v>1</v>
      </c>
      <c r="AT52">
        <f>AND(子1!AC52&gt;0)*1+AND(子2!AC52&gt;0)*1+AND(子3!AC52&gt;0)*1+AND(子4!AC52&gt;0)*1</f>
        <v>0</v>
      </c>
      <c r="AU52" t="str">
        <f t="shared" si="13"/>
        <v>夫婦</v>
      </c>
      <c r="AV52" s="1">
        <f>IF(D52,VLOOKUP(D52,年収と手取り!C:I,7,1),0)/9.1%</f>
        <v>0</v>
      </c>
    </row>
    <row r="53" spans="2:48" x14ac:dyDescent="0.25">
      <c r="B53" s="5">
        <f t="shared" si="25"/>
        <v>66</v>
      </c>
      <c r="C53" s="3">
        <f t="shared" si="15"/>
        <v>71</v>
      </c>
      <c r="D53" s="34">
        <f>IF(C53&gt;入力!$D$22,0,VLOOKUP(C53,賃金カーブ!R:T,3,0))</f>
        <v>0</v>
      </c>
      <c r="E53" s="3">
        <f>VLOOKUP(D53,年収と手取り!X:Y,2,1)</f>
        <v>0</v>
      </c>
      <c r="F53" s="3">
        <f>入力!$E$28</f>
        <v>0</v>
      </c>
      <c r="G53" s="3">
        <f>IF(C53=入力!D$22,入力!E$31,0)</f>
        <v>0</v>
      </c>
      <c r="H53" s="3">
        <f t="shared" si="17"/>
        <v>199.66338323076928</v>
      </c>
      <c r="I53" s="14">
        <f>IF(H53&gt;0,-年金の税金!$G$24/10000,0)</f>
        <v>-15.353239327484623</v>
      </c>
      <c r="J53" s="24">
        <f t="shared" si="26"/>
        <v>184.31014390328465</v>
      </c>
      <c r="K53" s="5"/>
      <c r="L53" s="3"/>
      <c r="M53" s="3">
        <f t="shared" si="24"/>
        <v>35.640000000000008</v>
      </c>
      <c r="N53" s="3">
        <f t="shared" si="24"/>
        <v>13.200000000000001</v>
      </c>
      <c r="O53" s="3">
        <f t="shared" si="24"/>
        <v>6.6000000000000005</v>
      </c>
      <c r="P53" s="3">
        <f t="shared" si="24"/>
        <v>5.2800000000000011</v>
      </c>
      <c r="Q53" s="3">
        <f t="shared" si="24"/>
        <v>3.3000000000000003</v>
      </c>
      <c r="R53" s="3">
        <f>IF(C53&gt;65,0,IF(OR(AND(子1!C53&gt;=0,子1!C53&lt;=18),AND(子2!C53&gt;=0,子2!C53&lt;=18),AND(子3!C53&gt;=0,子3!C53&lt;=18),AND(子4!C53&gt;=0,子4!C53&lt;=18)),入力!$D$35,入力!$D$34)*12)</f>
        <v>0</v>
      </c>
      <c r="S53" s="14"/>
      <c r="T53" s="18">
        <f t="shared" si="18"/>
        <v>64.02000000000001</v>
      </c>
      <c r="U53" s="24">
        <f t="shared" si="19"/>
        <v>120.29014390328464</v>
      </c>
      <c r="V53" s="3">
        <f t="shared" si="5"/>
        <v>6</v>
      </c>
      <c r="W53" s="3">
        <f t="shared" si="5"/>
        <v>2.4000000000000004</v>
      </c>
      <c r="X53" s="3"/>
      <c r="Y53" s="3"/>
      <c r="Z53" s="3"/>
      <c r="AA53" s="3"/>
      <c r="AB53" s="14"/>
      <c r="AC53" s="18">
        <f t="shared" si="20"/>
        <v>8.4</v>
      </c>
      <c r="AD53" s="24">
        <f t="shared" si="21"/>
        <v>111.89014390328464</v>
      </c>
      <c r="AE53" s="5">
        <f t="shared" si="11"/>
        <v>36</v>
      </c>
      <c r="AF53" s="3"/>
      <c r="AG53" s="3"/>
      <c r="AH53" s="3"/>
      <c r="AI53" s="3"/>
      <c r="AJ53" s="14"/>
      <c r="AK53" s="18">
        <f t="shared" si="12"/>
        <v>36</v>
      </c>
      <c r="AL53" s="24">
        <f t="shared" si="22"/>
        <v>75.890143903284638</v>
      </c>
      <c r="AM53" s="24">
        <f t="shared" si="23"/>
        <v>12052.32218341971</v>
      </c>
      <c r="AQ53" s="24"/>
      <c r="AS53">
        <f>(親2!E53&lt;103)*1+AND(子1!C53&gt;=0,子1!C53&lt;15)*1+AND(子2!C53&gt;=0,子2!C53&lt;15)*1+AND(子3!C53&gt;=0,子3!C53&lt;15)*1+AND(子4!C53&gt;=0,子4!C53&lt;15)*1</f>
        <v>1</v>
      </c>
      <c r="AT53">
        <f>AND(子1!AC53&gt;0)*1+AND(子2!AC53&gt;0)*1+AND(子3!AC53&gt;0)*1+AND(子4!AC53&gt;0)*1</f>
        <v>0</v>
      </c>
      <c r="AU53" t="str">
        <f t="shared" si="13"/>
        <v>夫婦</v>
      </c>
      <c r="AV53" s="1">
        <f>IF(D53,VLOOKUP(D53,年収と手取り!C:I,7,1),0)/9.1%</f>
        <v>0</v>
      </c>
    </row>
    <row r="54" spans="2:48" x14ac:dyDescent="0.25">
      <c r="B54" s="5">
        <f t="shared" si="25"/>
        <v>67</v>
      </c>
      <c r="C54" s="3">
        <f t="shared" si="15"/>
        <v>72</v>
      </c>
      <c r="D54" s="34">
        <f>IF(C54&gt;入力!$D$22,0,VLOOKUP(C54,賃金カーブ!R:T,3,0))</f>
        <v>0</v>
      </c>
      <c r="E54" s="3">
        <f>VLOOKUP(D54,年収と手取り!X:Y,2,1)</f>
        <v>0</v>
      </c>
      <c r="F54" s="3">
        <f>入力!$E$28</f>
        <v>0</v>
      </c>
      <c r="G54" s="3">
        <f>IF(C54=入力!D$22,入力!E$31,0)</f>
        <v>0</v>
      </c>
      <c r="H54" s="3">
        <f t="shared" si="17"/>
        <v>199.66338323076928</v>
      </c>
      <c r="I54" s="14">
        <f>IF(H54&gt;0,-年金の税金!$G$24/10000,0)</f>
        <v>-15.353239327484623</v>
      </c>
      <c r="J54" s="24">
        <f t="shared" si="26"/>
        <v>184.31014390328465</v>
      </c>
      <c r="K54" s="5"/>
      <c r="L54" s="3"/>
      <c r="M54" s="3">
        <f t="shared" si="24"/>
        <v>35.640000000000008</v>
      </c>
      <c r="N54" s="3">
        <f t="shared" si="24"/>
        <v>13.200000000000001</v>
      </c>
      <c r="O54" s="3">
        <f t="shared" si="24"/>
        <v>6.6000000000000005</v>
      </c>
      <c r="P54" s="3">
        <f t="shared" si="24"/>
        <v>5.2800000000000011</v>
      </c>
      <c r="Q54" s="3">
        <f t="shared" si="24"/>
        <v>3.3000000000000003</v>
      </c>
      <c r="R54" s="3">
        <f>IF(C54&gt;65,0,IF(OR(AND(子1!C54&gt;=0,子1!C54&lt;=18),AND(子2!C54&gt;=0,子2!C54&lt;=18),AND(子3!C54&gt;=0,子3!C54&lt;=18),AND(子4!C54&gt;=0,子4!C54&lt;=18)),入力!$D$35,入力!$D$34)*12)</f>
        <v>0</v>
      </c>
      <c r="S54" s="14"/>
      <c r="T54" s="18">
        <f t="shared" si="18"/>
        <v>64.02000000000001</v>
      </c>
      <c r="U54" s="24">
        <f t="shared" si="19"/>
        <v>120.29014390328464</v>
      </c>
      <c r="V54" s="3">
        <f t="shared" si="5"/>
        <v>6</v>
      </c>
      <c r="W54" s="3">
        <f t="shared" si="5"/>
        <v>2.4000000000000004</v>
      </c>
      <c r="X54" s="3"/>
      <c r="Y54" s="3"/>
      <c r="Z54" s="3"/>
      <c r="AA54" s="3"/>
      <c r="AB54" s="14"/>
      <c r="AC54" s="18">
        <f t="shared" si="20"/>
        <v>8.4</v>
      </c>
      <c r="AD54" s="24">
        <f t="shared" si="21"/>
        <v>111.89014390328464</v>
      </c>
      <c r="AE54" s="5">
        <f t="shared" si="11"/>
        <v>36</v>
      </c>
      <c r="AF54" s="3"/>
      <c r="AG54" s="3"/>
      <c r="AH54" s="3"/>
      <c r="AI54" s="3"/>
      <c r="AJ54" s="14"/>
      <c r="AK54" s="18">
        <f t="shared" si="12"/>
        <v>36</v>
      </c>
      <c r="AL54" s="24">
        <f t="shared" si="22"/>
        <v>75.890143903284638</v>
      </c>
      <c r="AM54" s="24">
        <f t="shared" si="23"/>
        <v>12128.212327322995</v>
      </c>
      <c r="AQ54" s="24"/>
      <c r="AS54">
        <f>(親2!E54&lt;103)*1+AND(子1!C54&gt;=0,子1!C54&lt;15)*1+AND(子2!C54&gt;=0,子2!C54&lt;15)*1+AND(子3!C54&gt;=0,子3!C54&lt;15)*1+AND(子4!C54&gt;=0,子4!C54&lt;15)*1</f>
        <v>1</v>
      </c>
      <c r="AT54">
        <f>AND(子1!AC54&gt;0)*1+AND(子2!AC54&gt;0)*1+AND(子3!AC54&gt;0)*1+AND(子4!AC54&gt;0)*1</f>
        <v>0</v>
      </c>
      <c r="AU54" t="str">
        <f t="shared" si="13"/>
        <v>夫婦</v>
      </c>
      <c r="AV54" s="1">
        <f>IF(D54,VLOOKUP(D54,年収と手取り!C:I,7,1),0)/9.1%</f>
        <v>0</v>
      </c>
    </row>
    <row r="55" spans="2:48" x14ac:dyDescent="0.25">
      <c r="B55" s="5">
        <f t="shared" si="25"/>
        <v>68</v>
      </c>
      <c r="C55" s="3">
        <f t="shared" si="15"/>
        <v>73</v>
      </c>
      <c r="D55" s="34">
        <f>IF(C55&gt;入力!$D$22,0,VLOOKUP(C55,賃金カーブ!R:T,3,0))</f>
        <v>0</v>
      </c>
      <c r="E55" s="3">
        <f>VLOOKUP(D55,年収と手取り!X:Y,2,1)</f>
        <v>0</v>
      </c>
      <c r="F55" s="3">
        <f>入力!$E$28</f>
        <v>0</v>
      </c>
      <c r="G55" s="3">
        <f>IF(C55=入力!D$22,入力!E$31,0)</f>
        <v>0</v>
      </c>
      <c r="H55" s="3">
        <f t="shared" si="17"/>
        <v>199.66338323076928</v>
      </c>
      <c r="I55" s="14">
        <f>IF(H55&gt;0,-年金の税金!$G$24/10000,0)</f>
        <v>-15.353239327484623</v>
      </c>
      <c r="J55" s="24">
        <f t="shared" si="26"/>
        <v>184.31014390328465</v>
      </c>
      <c r="K55" s="5"/>
      <c r="L55" s="3"/>
      <c r="M55" s="3">
        <f t="shared" ref="M55:Q70" si="27">M$1</f>
        <v>35.640000000000008</v>
      </c>
      <c r="N55" s="3">
        <f t="shared" si="27"/>
        <v>13.200000000000001</v>
      </c>
      <c r="O55" s="3">
        <f t="shared" si="27"/>
        <v>6.6000000000000005</v>
      </c>
      <c r="P55" s="3">
        <f t="shared" si="27"/>
        <v>5.2800000000000011</v>
      </c>
      <c r="Q55" s="3">
        <f t="shared" si="27"/>
        <v>3.3000000000000003</v>
      </c>
      <c r="R55" s="3">
        <f>IF(C55&gt;65,0,IF(OR(AND(子1!C55&gt;=0,子1!C55&lt;=18),AND(子2!C55&gt;=0,子2!C55&lt;=18),AND(子3!C55&gt;=0,子3!C55&lt;=18),AND(子4!C55&gt;=0,子4!C55&lt;=18)),入力!$D$35,入力!$D$34)*12)</f>
        <v>0</v>
      </c>
      <c r="S55" s="14"/>
      <c r="T55" s="18">
        <f t="shared" si="18"/>
        <v>64.02000000000001</v>
      </c>
      <c r="U55" s="24">
        <f t="shared" si="19"/>
        <v>120.29014390328464</v>
      </c>
      <c r="V55" s="3">
        <f t="shared" si="5"/>
        <v>6</v>
      </c>
      <c r="W55" s="3">
        <f t="shared" si="5"/>
        <v>2.4000000000000004</v>
      </c>
      <c r="X55" s="3"/>
      <c r="Y55" s="3"/>
      <c r="Z55" s="3"/>
      <c r="AA55" s="3"/>
      <c r="AB55" s="14"/>
      <c r="AC55" s="18">
        <f t="shared" si="20"/>
        <v>8.4</v>
      </c>
      <c r="AD55" s="24">
        <f t="shared" si="21"/>
        <v>111.89014390328464</v>
      </c>
      <c r="AE55" s="5">
        <f t="shared" si="11"/>
        <v>36</v>
      </c>
      <c r="AF55" s="3"/>
      <c r="AG55" s="3"/>
      <c r="AH55" s="3"/>
      <c r="AI55" s="3"/>
      <c r="AJ55" s="14"/>
      <c r="AK55" s="18">
        <f t="shared" si="12"/>
        <v>36</v>
      </c>
      <c r="AL55" s="24">
        <f t="shared" si="22"/>
        <v>75.890143903284638</v>
      </c>
      <c r="AM55" s="24">
        <f t="shared" si="23"/>
        <v>12204.102471226281</v>
      </c>
      <c r="AQ55" s="24"/>
      <c r="AS55">
        <f>(親2!E55&lt;103)*1+AND(子1!C55&gt;=0,子1!C55&lt;15)*1+AND(子2!C55&gt;=0,子2!C55&lt;15)*1+AND(子3!C55&gt;=0,子3!C55&lt;15)*1+AND(子4!C55&gt;=0,子4!C55&lt;15)*1</f>
        <v>1</v>
      </c>
      <c r="AT55">
        <f>AND(子1!AC55&gt;0)*1+AND(子2!AC55&gt;0)*1+AND(子3!AC55&gt;0)*1+AND(子4!AC55&gt;0)*1</f>
        <v>0</v>
      </c>
      <c r="AU55" t="str">
        <f t="shared" si="13"/>
        <v>夫婦</v>
      </c>
      <c r="AV55" s="1">
        <f>IF(D55,VLOOKUP(D55,年収と手取り!C:I,7,1),0)/9.1%</f>
        <v>0</v>
      </c>
    </row>
    <row r="56" spans="2:48" x14ac:dyDescent="0.25">
      <c r="B56" s="5">
        <f t="shared" si="25"/>
        <v>69</v>
      </c>
      <c r="C56" s="3">
        <f t="shared" si="15"/>
        <v>74</v>
      </c>
      <c r="D56" s="34">
        <f>IF(C56&gt;入力!$D$22,0,VLOOKUP(C56,賃金カーブ!R:T,3,0))</f>
        <v>0</v>
      </c>
      <c r="E56" s="3">
        <f>VLOOKUP(D56,年収と手取り!X:Y,2,1)</f>
        <v>0</v>
      </c>
      <c r="F56" s="3">
        <f>入力!$E$28</f>
        <v>0</v>
      </c>
      <c r="G56" s="3">
        <f>IF(C56=入力!D$22,入力!E$31,0)</f>
        <v>0</v>
      </c>
      <c r="H56" s="3">
        <f t="shared" si="17"/>
        <v>199.66338323076928</v>
      </c>
      <c r="I56" s="14">
        <f>IF(H56&gt;0,-年金の税金!$G$24/10000,0)</f>
        <v>-15.353239327484623</v>
      </c>
      <c r="J56" s="24">
        <f t="shared" si="26"/>
        <v>184.31014390328465</v>
      </c>
      <c r="K56" s="5"/>
      <c r="L56" s="3"/>
      <c r="M56" s="3">
        <f t="shared" si="27"/>
        <v>35.640000000000008</v>
      </c>
      <c r="N56" s="3">
        <f t="shared" si="27"/>
        <v>13.200000000000001</v>
      </c>
      <c r="O56" s="3">
        <f t="shared" si="27"/>
        <v>6.6000000000000005</v>
      </c>
      <c r="P56" s="3">
        <f t="shared" si="27"/>
        <v>5.2800000000000011</v>
      </c>
      <c r="Q56" s="3">
        <f t="shared" si="27"/>
        <v>3.3000000000000003</v>
      </c>
      <c r="R56" s="3">
        <f>IF(C56&gt;65,0,IF(OR(AND(子1!C56&gt;=0,子1!C56&lt;=18),AND(子2!C56&gt;=0,子2!C56&lt;=18),AND(子3!C56&gt;=0,子3!C56&lt;=18),AND(子4!C56&gt;=0,子4!C56&lt;=18)),入力!$D$35,入力!$D$34)*12)</f>
        <v>0</v>
      </c>
      <c r="S56" s="14"/>
      <c r="T56" s="18">
        <f t="shared" si="18"/>
        <v>64.02000000000001</v>
      </c>
      <c r="U56" s="24">
        <f t="shared" si="19"/>
        <v>120.29014390328464</v>
      </c>
      <c r="V56" s="3">
        <f t="shared" si="5"/>
        <v>6</v>
      </c>
      <c r="W56" s="3">
        <f t="shared" si="5"/>
        <v>2.4000000000000004</v>
      </c>
      <c r="X56" s="3"/>
      <c r="Y56" s="3"/>
      <c r="Z56" s="3"/>
      <c r="AA56" s="3"/>
      <c r="AB56" s="14"/>
      <c r="AC56" s="18">
        <f t="shared" si="20"/>
        <v>8.4</v>
      </c>
      <c r="AD56" s="24">
        <f t="shared" si="21"/>
        <v>111.89014390328464</v>
      </c>
      <c r="AE56" s="5">
        <f t="shared" si="11"/>
        <v>36</v>
      </c>
      <c r="AF56" s="3"/>
      <c r="AG56" s="3"/>
      <c r="AH56" s="3"/>
      <c r="AI56" s="3"/>
      <c r="AJ56" s="14"/>
      <c r="AK56" s="18">
        <f t="shared" si="12"/>
        <v>36</v>
      </c>
      <c r="AL56" s="24">
        <f t="shared" si="22"/>
        <v>75.890143903284638</v>
      </c>
      <c r="AM56" s="24">
        <f t="shared" si="23"/>
        <v>12279.992615129566</v>
      </c>
      <c r="AQ56" s="24"/>
      <c r="AS56">
        <f>(親2!E56&lt;103)*1+AND(子1!C56&gt;=0,子1!C56&lt;15)*1+AND(子2!C56&gt;=0,子2!C56&lt;15)*1+AND(子3!C56&gt;=0,子3!C56&lt;15)*1+AND(子4!C56&gt;=0,子4!C56&lt;15)*1</f>
        <v>1</v>
      </c>
      <c r="AT56">
        <f>AND(子1!AC56&gt;0)*1+AND(子2!AC56&gt;0)*1+AND(子3!AC56&gt;0)*1+AND(子4!AC56&gt;0)*1</f>
        <v>0</v>
      </c>
      <c r="AU56" t="str">
        <f t="shared" si="13"/>
        <v>夫婦</v>
      </c>
      <c r="AV56" s="1">
        <f>IF(D56,VLOOKUP(D56,年収と手取り!C:I,7,1),0)/9.1%</f>
        <v>0</v>
      </c>
    </row>
    <row r="57" spans="2:48" x14ac:dyDescent="0.25">
      <c r="B57" s="5">
        <f t="shared" si="25"/>
        <v>70</v>
      </c>
      <c r="C57" s="3">
        <f t="shared" si="15"/>
        <v>75</v>
      </c>
      <c r="D57" s="34">
        <f>IF(C57&gt;入力!$D$22,0,VLOOKUP(C57,賃金カーブ!R:T,3,0))</f>
        <v>0</v>
      </c>
      <c r="E57" s="3">
        <f>VLOOKUP(D57,年収と手取り!X:Y,2,1)</f>
        <v>0</v>
      </c>
      <c r="F57" s="3">
        <f>入力!$E$28</f>
        <v>0</v>
      </c>
      <c r="G57" s="3">
        <f>IF(C57=入力!D$22,入力!E$31,0)</f>
        <v>0</v>
      </c>
      <c r="H57" s="3">
        <f t="shared" si="17"/>
        <v>199.66338323076928</v>
      </c>
      <c r="I57" s="14">
        <f>IF(H57&gt;0,-年金の税金!$G$24/10000,0)</f>
        <v>-15.353239327484623</v>
      </c>
      <c r="J57" s="24">
        <f t="shared" si="26"/>
        <v>184.31014390328465</v>
      </c>
      <c r="K57" s="5"/>
      <c r="L57" s="3"/>
      <c r="M57" s="3">
        <f t="shared" si="27"/>
        <v>35.640000000000008</v>
      </c>
      <c r="N57" s="3">
        <f t="shared" si="27"/>
        <v>13.200000000000001</v>
      </c>
      <c r="O57" s="3">
        <f t="shared" si="27"/>
        <v>6.6000000000000005</v>
      </c>
      <c r="P57" s="3">
        <f t="shared" si="27"/>
        <v>5.2800000000000011</v>
      </c>
      <c r="Q57" s="3">
        <f t="shared" si="27"/>
        <v>3.3000000000000003</v>
      </c>
      <c r="R57" s="3">
        <f>IF(C57&gt;65,0,IF(OR(AND(子1!C57&gt;=0,子1!C57&lt;=18),AND(子2!C57&gt;=0,子2!C57&lt;=18),AND(子3!C57&gt;=0,子3!C57&lt;=18),AND(子4!C57&gt;=0,子4!C57&lt;=18)),入力!$D$35,入力!$D$34)*12)</f>
        <v>0</v>
      </c>
      <c r="S57" s="14"/>
      <c r="T57" s="18">
        <f t="shared" si="18"/>
        <v>64.02000000000001</v>
      </c>
      <c r="U57" s="24">
        <f t="shared" si="19"/>
        <v>120.29014390328464</v>
      </c>
      <c r="V57" s="3">
        <f t="shared" si="5"/>
        <v>6</v>
      </c>
      <c r="W57" s="3">
        <f t="shared" si="5"/>
        <v>2.4000000000000004</v>
      </c>
      <c r="X57" s="3"/>
      <c r="Y57" s="3"/>
      <c r="Z57" s="3"/>
      <c r="AA57" s="3"/>
      <c r="AB57" s="14"/>
      <c r="AC57" s="18">
        <f t="shared" si="20"/>
        <v>8.4</v>
      </c>
      <c r="AD57" s="24">
        <f t="shared" si="21"/>
        <v>111.89014390328464</v>
      </c>
      <c r="AE57" s="5">
        <f t="shared" si="11"/>
        <v>36</v>
      </c>
      <c r="AF57" s="3"/>
      <c r="AG57" s="3"/>
      <c r="AH57" s="3"/>
      <c r="AI57" s="3"/>
      <c r="AJ57" s="14"/>
      <c r="AK57" s="18">
        <f t="shared" si="12"/>
        <v>36</v>
      </c>
      <c r="AL57" s="24">
        <f t="shared" si="22"/>
        <v>75.890143903284638</v>
      </c>
      <c r="AM57" s="24">
        <f t="shared" si="23"/>
        <v>12355.882759032851</v>
      </c>
      <c r="AQ57" s="24"/>
      <c r="AS57">
        <f>(親2!E57&lt;103)*1+AND(子1!C57&gt;=0,子1!C57&lt;15)*1+AND(子2!C57&gt;=0,子2!C57&lt;15)*1+AND(子3!C57&gt;=0,子3!C57&lt;15)*1+AND(子4!C57&gt;=0,子4!C57&lt;15)*1</f>
        <v>1</v>
      </c>
      <c r="AT57">
        <f>AND(子1!AC57&gt;0)*1+AND(子2!AC57&gt;0)*1+AND(子3!AC57&gt;0)*1+AND(子4!AC57&gt;0)*1</f>
        <v>0</v>
      </c>
      <c r="AU57" t="str">
        <f t="shared" si="13"/>
        <v>夫婦</v>
      </c>
      <c r="AV57" s="1">
        <f>IF(D57,VLOOKUP(D57,年収と手取り!C:I,7,1),0)/9.1%</f>
        <v>0</v>
      </c>
    </row>
    <row r="58" spans="2:48" x14ac:dyDescent="0.25">
      <c r="B58" s="5">
        <f t="shared" si="25"/>
        <v>71</v>
      </c>
      <c r="C58" s="3">
        <f t="shared" si="15"/>
        <v>76</v>
      </c>
      <c r="D58" s="34">
        <f>IF(C58&gt;入力!$D$22,0,VLOOKUP(C58,賃金カーブ!R:T,3,0))</f>
        <v>0</v>
      </c>
      <c r="E58" s="3">
        <f>VLOOKUP(D58,年収と手取り!X:Y,2,1)</f>
        <v>0</v>
      </c>
      <c r="F58" s="3">
        <f>入力!$E$28</f>
        <v>0</v>
      </c>
      <c r="G58" s="3">
        <f>IF(C58=入力!D$22,入力!E$31,0)</f>
        <v>0</v>
      </c>
      <c r="H58" s="3">
        <f t="shared" si="17"/>
        <v>199.66338323076928</v>
      </c>
      <c r="I58" s="14">
        <f>IF(H58&gt;0,-年金の税金!$G$24/10000,0)</f>
        <v>-15.353239327484623</v>
      </c>
      <c r="J58" s="24">
        <f t="shared" si="26"/>
        <v>184.31014390328465</v>
      </c>
      <c r="K58" s="5"/>
      <c r="L58" s="3"/>
      <c r="M58" s="3">
        <f t="shared" si="27"/>
        <v>35.640000000000008</v>
      </c>
      <c r="N58" s="3">
        <f t="shared" si="27"/>
        <v>13.200000000000001</v>
      </c>
      <c r="O58" s="3">
        <f t="shared" si="27"/>
        <v>6.6000000000000005</v>
      </c>
      <c r="P58" s="3">
        <f t="shared" si="27"/>
        <v>5.2800000000000011</v>
      </c>
      <c r="Q58" s="3">
        <f t="shared" si="27"/>
        <v>3.3000000000000003</v>
      </c>
      <c r="R58" s="3">
        <f>IF(C58&gt;65,0,IF(OR(AND(子1!C58&gt;=0,子1!C58&lt;=18),AND(子2!C58&gt;=0,子2!C58&lt;=18),AND(子3!C58&gt;=0,子3!C58&lt;=18),AND(子4!C58&gt;=0,子4!C58&lt;=18)),入力!$D$35,入力!$D$34)*12)</f>
        <v>0</v>
      </c>
      <c r="S58" s="14"/>
      <c r="T58" s="18">
        <f t="shared" si="18"/>
        <v>64.02000000000001</v>
      </c>
      <c r="U58" s="24">
        <f t="shared" si="19"/>
        <v>120.29014390328464</v>
      </c>
      <c r="V58" s="3">
        <f t="shared" si="5"/>
        <v>6</v>
      </c>
      <c r="W58" s="3">
        <f t="shared" si="5"/>
        <v>2.4000000000000004</v>
      </c>
      <c r="X58" s="3"/>
      <c r="Y58" s="3"/>
      <c r="Z58" s="3"/>
      <c r="AA58" s="3"/>
      <c r="AB58" s="14"/>
      <c r="AC58" s="18">
        <f t="shared" si="20"/>
        <v>8.4</v>
      </c>
      <c r="AD58" s="24">
        <f t="shared" si="21"/>
        <v>111.89014390328464</v>
      </c>
      <c r="AE58" s="5">
        <f t="shared" si="11"/>
        <v>36</v>
      </c>
      <c r="AF58" s="3"/>
      <c r="AG58" s="3"/>
      <c r="AH58" s="3"/>
      <c r="AI58" s="3"/>
      <c r="AJ58" s="14"/>
      <c r="AK58" s="18">
        <f t="shared" si="12"/>
        <v>36</v>
      </c>
      <c r="AL58" s="24">
        <f t="shared" si="22"/>
        <v>75.890143903284638</v>
      </c>
      <c r="AM58" s="24">
        <f t="shared" si="23"/>
        <v>12431.772902936136</v>
      </c>
      <c r="AQ58" s="24"/>
      <c r="AS58">
        <f>(親2!E58&lt;103)*1+AND(子1!C58&gt;=0,子1!C58&lt;15)*1+AND(子2!C58&gt;=0,子2!C58&lt;15)*1+AND(子3!C58&gt;=0,子3!C58&lt;15)*1+AND(子4!C58&gt;=0,子4!C58&lt;15)*1</f>
        <v>1</v>
      </c>
      <c r="AT58">
        <f>AND(子1!AC58&gt;0)*1+AND(子2!AC58&gt;0)*1+AND(子3!AC58&gt;0)*1+AND(子4!AC58&gt;0)*1</f>
        <v>0</v>
      </c>
      <c r="AU58" t="str">
        <f t="shared" si="13"/>
        <v>夫婦</v>
      </c>
      <c r="AV58" s="1">
        <f>IF(D58,VLOOKUP(D58,年収と手取り!C:I,7,1),0)/9.1%</f>
        <v>0</v>
      </c>
    </row>
    <row r="59" spans="2:48" x14ac:dyDescent="0.25">
      <c r="B59" s="5">
        <f t="shared" si="25"/>
        <v>72</v>
      </c>
      <c r="C59" s="3">
        <f t="shared" si="15"/>
        <v>77</v>
      </c>
      <c r="D59" s="34">
        <f>IF(C59&gt;入力!$D$22,0,VLOOKUP(C59,賃金カーブ!R:T,3,0))</f>
        <v>0</v>
      </c>
      <c r="E59" s="3">
        <f>VLOOKUP(D59,年収と手取り!X:Y,2,1)</f>
        <v>0</v>
      </c>
      <c r="F59" s="3">
        <f>入力!$E$28</f>
        <v>0</v>
      </c>
      <c r="G59" s="3">
        <f>IF(C59=入力!D$22,入力!E$31,0)</f>
        <v>0</v>
      </c>
      <c r="H59" s="3">
        <f t="shared" si="17"/>
        <v>199.66338323076928</v>
      </c>
      <c r="I59" s="14">
        <f>IF(H59&gt;0,-年金の税金!$G$24/10000,0)</f>
        <v>-15.353239327484623</v>
      </c>
      <c r="J59" s="24">
        <f t="shared" si="26"/>
        <v>184.31014390328465</v>
      </c>
      <c r="K59" s="5"/>
      <c r="L59" s="3"/>
      <c r="M59" s="3">
        <f t="shared" si="27"/>
        <v>35.640000000000008</v>
      </c>
      <c r="N59" s="3">
        <f t="shared" si="27"/>
        <v>13.200000000000001</v>
      </c>
      <c r="O59" s="3">
        <f t="shared" si="27"/>
        <v>6.6000000000000005</v>
      </c>
      <c r="P59" s="3">
        <f t="shared" si="27"/>
        <v>5.2800000000000011</v>
      </c>
      <c r="Q59" s="3">
        <f t="shared" si="27"/>
        <v>3.3000000000000003</v>
      </c>
      <c r="R59" s="3">
        <f>IF(C59&gt;65,0,IF(OR(AND(子1!C59&gt;=0,子1!C59&lt;=18),AND(子2!C59&gt;=0,子2!C59&lt;=18),AND(子3!C59&gt;=0,子3!C59&lt;=18),AND(子4!C59&gt;=0,子4!C59&lt;=18)),入力!$D$35,入力!$D$34)*12)</f>
        <v>0</v>
      </c>
      <c r="S59" s="14"/>
      <c r="T59" s="18">
        <f t="shared" si="18"/>
        <v>64.02000000000001</v>
      </c>
      <c r="U59" s="24">
        <f t="shared" si="19"/>
        <v>120.29014390328464</v>
      </c>
      <c r="V59" s="3">
        <f t="shared" si="5"/>
        <v>6</v>
      </c>
      <c r="W59" s="3">
        <f t="shared" si="5"/>
        <v>2.4000000000000004</v>
      </c>
      <c r="X59" s="3"/>
      <c r="Y59" s="3"/>
      <c r="Z59" s="3"/>
      <c r="AA59" s="3"/>
      <c r="AB59" s="14"/>
      <c r="AC59" s="18">
        <f t="shared" si="20"/>
        <v>8.4</v>
      </c>
      <c r="AD59" s="24">
        <f t="shared" si="21"/>
        <v>111.89014390328464</v>
      </c>
      <c r="AE59" s="5">
        <f t="shared" si="11"/>
        <v>36</v>
      </c>
      <c r="AF59" s="3"/>
      <c r="AG59" s="3"/>
      <c r="AH59" s="3"/>
      <c r="AI59" s="3"/>
      <c r="AJ59" s="14"/>
      <c r="AK59" s="18">
        <f t="shared" si="12"/>
        <v>36</v>
      </c>
      <c r="AL59" s="24">
        <f t="shared" si="22"/>
        <v>75.890143903284638</v>
      </c>
      <c r="AM59" s="24">
        <f t="shared" si="23"/>
        <v>12507.663046839421</v>
      </c>
      <c r="AQ59" s="24"/>
      <c r="AS59">
        <f>(親2!E59&lt;103)*1+AND(子1!C59&gt;=0,子1!C59&lt;15)*1+AND(子2!C59&gt;=0,子2!C59&lt;15)*1+AND(子3!C59&gt;=0,子3!C59&lt;15)*1+AND(子4!C59&gt;=0,子4!C59&lt;15)*1</f>
        <v>1</v>
      </c>
      <c r="AT59">
        <f>AND(子1!AC59&gt;0)*1+AND(子2!AC59&gt;0)*1+AND(子3!AC59&gt;0)*1+AND(子4!AC59&gt;0)*1</f>
        <v>0</v>
      </c>
      <c r="AU59" t="str">
        <f t="shared" si="13"/>
        <v>夫婦</v>
      </c>
      <c r="AV59" s="1">
        <f>IF(D59,VLOOKUP(D59,年収と手取り!C:I,7,1),0)/9.1%</f>
        <v>0</v>
      </c>
    </row>
    <row r="60" spans="2:48" x14ac:dyDescent="0.25">
      <c r="B60" s="5">
        <f t="shared" si="25"/>
        <v>73</v>
      </c>
      <c r="C60" s="3">
        <f t="shared" si="15"/>
        <v>78</v>
      </c>
      <c r="D60" s="34">
        <f>IF(C60&gt;入力!$D$22,0,VLOOKUP(C60,賃金カーブ!R:T,3,0))</f>
        <v>0</v>
      </c>
      <c r="E60" s="3">
        <f>VLOOKUP(D60,年収と手取り!X:Y,2,1)</f>
        <v>0</v>
      </c>
      <c r="F60" s="3">
        <f>入力!$E$28</f>
        <v>0</v>
      </c>
      <c r="G60" s="3">
        <f>IF(C60=入力!D$22,入力!E$31,0)</f>
        <v>0</v>
      </c>
      <c r="H60" s="3">
        <f t="shared" si="17"/>
        <v>199.66338323076928</v>
      </c>
      <c r="I60" s="14">
        <f>IF(H60&gt;0,-年金の税金!$G$24/10000,0)</f>
        <v>-15.353239327484623</v>
      </c>
      <c r="J60" s="24">
        <f t="shared" si="26"/>
        <v>184.31014390328465</v>
      </c>
      <c r="K60" s="5"/>
      <c r="L60" s="3"/>
      <c r="M60" s="3">
        <f t="shared" si="27"/>
        <v>35.640000000000008</v>
      </c>
      <c r="N60" s="3">
        <f t="shared" si="27"/>
        <v>13.200000000000001</v>
      </c>
      <c r="O60" s="3">
        <f t="shared" si="27"/>
        <v>6.6000000000000005</v>
      </c>
      <c r="P60" s="3">
        <f t="shared" si="27"/>
        <v>5.2800000000000011</v>
      </c>
      <c r="Q60" s="3">
        <f t="shared" si="27"/>
        <v>3.3000000000000003</v>
      </c>
      <c r="R60" s="3">
        <f>IF(C60&gt;65,0,IF(OR(AND(子1!C60&gt;=0,子1!C60&lt;=18),AND(子2!C60&gt;=0,子2!C60&lt;=18),AND(子3!C60&gt;=0,子3!C60&lt;=18),AND(子4!C60&gt;=0,子4!C60&lt;=18)),入力!$D$35,入力!$D$34)*12)</f>
        <v>0</v>
      </c>
      <c r="S60" s="14"/>
      <c r="T60" s="18">
        <f t="shared" si="18"/>
        <v>64.02000000000001</v>
      </c>
      <c r="U60" s="24">
        <f t="shared" si="19"/>
        <v>120.29014390328464</v>
      </c>
      <c r="V60" s="3">
        <f t="shared" si="5"/>
        <v>6</v>
      </c>
      <c r="W60" s="3">
        <f t="shared" si="5"/>
        <v>2.4000000000000004</v>
      </c>
      <c r="X60" s="3"/>
      <c r="Y60" s="3"/>
      <c r="Z60" s="3"/>
      <c r="AA60" s="3"/>
      <c r="AB60" s="14"/>
      <c r="AC60" s="18">
        <f t="shared" si="20"/>
        <v>8.4</v>
      </c>
      <c r="AD60" s="24">
        <f t="shared" si="21"/>
        <v>111.89014390328464</v>
      </c>
      <c r="AE60" s="5">
        <f t="shared" si="11"/>
        <v>36</v>
      </c>
      <c r="AF60" s="3"/>
      <c r="AG60" s="3"/>
      <c r="AH60" s="3"/>
      <c r="AI60" s="3"/>
      <c r="AJ60" s="14"/>
      <c r="AK60" s="18">
        <f t="shared" si="12"/>
        <v>36</v>
      </c>
      <c r="AL60" s="24">
        <f t="shared" si="22"/>
        <v>75.890143903284638</v>
      </c>
      <c r="AM60" s="24">
        <f t="shared" si="23"/>
        <v>12583.553190742707</v>
      </c>
      <c r="AQ60" s="24"/>
      <c r="AS60">
        <f>(親2!E60&lt;103)*1+AND(子1!C60&gt;=0,子1!C60&lt;15)*1+AND(子2!C60&gt;=0,子2!C60&lt;15)*1+AND(子3!C60&gt;=0,子3!C60&lt;15)*1+AND(子4!C60&gt;=0,子4!C60&lt;15)*1</f>
        <v>1</v>
      </c>
      <c r="AT60">
        <f>AND(子1!AC60&gt;0)*1+AND(子2!AC60&gt;0)*1+AND(子3!AC60&gt;0)*1+AND(子4!AC60&gt;0)*1</f>
        <v>0</v>
      </c>
      <c r="AU60" t="str">
        <f t="shared" si="13"/>
        <v>夫婦</v>
      </c>
      <c r="AV60" s="1">
        <f>IF(D60,VLOOKUP(D60,年収と手取り!C:I,7,1),0)/9.1%</f>
        <v>0</v>
      </c>
    </row>
    <row r="61" spans="2:48" x14ac:dyDescent="0.25">
      <c r="B61" s="5">
        <f t="shared" si="25"/>
        <v>74</v>
      </c>
      <c r="C61" s="3">
        <f t="shared" si="15"/>
        <v>79</v>
      </c>
      <c r="D61" s="34">
        <f>IF(C61&gt;入力!$D$22,0,VLOOKUP(C61,賃金カーブ!R:T,3,0))</f>
        <v>0</v>
      </c>
      <c r="E61" s="3">
        <f>VLOOKUP(D61,年収と手取り!X:Y,2,1)</f>
        <v>0</v>
      </c>
      <c r="F61" s="3">
        <f>入力!$E$28</f>
        <v>0</v>
      </c>
      <c r="G61" s="3">
        <f>IF(C61=入力!D$22,入力!E$31,0)</f>
        <v>0</v>
      </c>
      <c r="H61" s="3">
        <f t="shared" si="17"/>
        <v>199.66338323076928</v>
      </c>
      <c r="I61" s="14">
        <f>IF(H61&gt;0,-年金の税金!$G$24/10000,0)</f>
        <v>-15.353239327484623</v>
      </c>
      <c r="J61" s="24">
        <f t="shared" si="26"/>
        <v>184.31014390328465</v>
      </c>
      <c r="K61" s="5"/>
      <c r="L61" s="3"/>
      <c r="M61" s="3">
        <f t="shared" si="27"/>
        <v>35.640000000000008</v>
      </c>
      <c r="N61" s="3">
        <f t="shared" si="27"/>
        <v>13.200000000000001</v>
      </c>
      <c r="O61" s="3">
        <f t="shared" si="27"/>
        <v>6.6000000000000005</v>
      </c>
      <c r="P61" s="3">
        <f t="shared" si="27"/>
        <v>5.2800000000000011</v>
      </c>
      <c r="Q61" s="3">
        <f t="shared" si="27"/>
        <v>3.3000000000000003</v>
      </c>
      <c r="R61" s="3">
        <f>IF(C61&gt;65,0,IF(OR(AND(子1!C61&gt;=0,子1!C61&lt;=18),AND(子2!C61&gt;=0,子2!C61&lt;=18),AND(子3!C61&gt;=0,子3!C61&lt;=18),AND(子4!C61&gt;=0,子4!C61&lt;=18)),入力!$D$35,入力!$D$34)*12)</f>
        <v>0</v>
      </c>
      <c r="S61" s="14"/>
      <c r="T61" s="18">
        <f t="shared" si="18"/>
        <v>64.02000000000001</v>
      </c>
      <c r="U61" s="24">
        <f t="shared" si="19"/>
        <v>120.29014390328464</v>
      </c>
      <c r="V61" s="3">
        <f t="shared" si="5"/>
        <v>6</v>
      </c>
      <c r="W61" s="3">
        <f t="shared" si="5"/>
        <v>2.4000000000000004</v>
      </c>
      <c r="X61" s="3"/>
      <c r="Y61" s="3"/>
      <c r="Z61" s="3"/>
      <c r="AA61" s="3"/>
      <c r="AB61" s="14"/>
      <c r="AC61" s="18">
        <f t="shared" si="20"/>
        <v>8.4</v>
      </c>
      <c r="AD61" s="24">
        <f t="shared" si="21"/>
        <v>111.89014390328464</v>
      </c>
      <c r="AE61" s="5">
        <f t="shared" si="11"/>
        <v>36</v>
      </c>
      <c r="AF61" s="3"/>
      <c r="AG61" s="3"/>
      <c r="AH61" s="3"/>
      <c r="AI61" s="3"/>
      <c r="AJ61" s="14"/>
      <c r="AK61" s="18">
        <f t="shared" si="12"/>
        <v>36</v>
      </c>
      <c r="AL61" s="24">
        <f t="shared" si="22"/>
        <v>75.890143903284638</v>
      </c>
      <c r="AM61" s="24">
        <f t="shared" si="23"/>
        <v>12659.443334645992</v>
      </c>
      <c r="AQ61" s="24"/>
      <c r="AS61">
        <f>(親2!E61&lt;103)*1+AND(子1!C61&gt;=0,子1!C61&lt;15)*1+AND(子2!C61&gt;=0,子2!C61&lt;15)*1+AND(子3!C61&gt;=0,子3!C61&lt;15)*1+AND(子4!C61&gt;=0,子4!C61&lt;15)*1</f>
        <v>1</v>
      </c>
      <c r="AT61">
        <f>AND(子1!AC61&gt;0)*1+AND(子2!AC61&gt;0)*1+AND(子3!AC61&gt;0)*1+AND(子4!AC61&gt;0)*1</f>
        <v>0</v>
      </c>
      <c r="AU61" t="str">
        <f t="shared" si="13"/>
        <v>夫婦</v>
      </c>
      <c r="AV61" s="1">
        <f>IF(D61,VLOOKUP(D61,年収と手取り!C:I,7,1),0)/9.1%</f>
        <v>0</v>
      </c>
    </row>
    <row r="62" spans="2:48" x14ac:dyDescent="0.25">
      <c r="B62" s="5">
        <f t="shared" si="25"/>
        <v>75</v>
      </c>
      <c r="C62" s="3">
        <f t="shared" si="15"/>
        <v>80</v>
      </c>
      <c r="D62" s="34">
        <f>IF(C62&gt;入力!$D$22,0,VLOOKUP(C62,賃金カーブ!R:T,3,0))</f>
        <v>0</v>
      </c>
      <c r="E62" s="3">
        <f>VLOOKUP(D62,年収と手取り!X:Y,2,1)</f>
        <v>0</v>
      </c>
      <c r="F62" s="3">
        <f>入力!$E$28</f>
        <v>0</v>
      </c>
      <c r="G62" s="3">
        <f>IF(C62=入力!D$22,入力!E$31,0)</f>
        <v>0</v>
      </c>
      <c r="H62" s="3">
        <f t="shared" si="17"/>
        <v>199.66338323076928</v>
      </c>
      <c r="I62" s="14">
        <f>IF(H62&gt;0,-年金の税金!$G$24/10000,0)</f>
        <v>-15.353239327484623</v>
      </c>
      <c r="J62" s="24">
        <f t="shared" si="26"/>
        <v>184.31014390328465</v>
      </c>
      <c r="K62" s="5"/>
      <c r="L62" s="3"/>
      <c r="M62" s="3">
        <f t="shared" si="27"/>
        <v>35.640000000000008</v>
      </c>
      <c r="N62" s="3">
        <f t="shared" si="27"/>
        <v>13.200000000000001</v>
      </c>
      <c r="O62" s="3">
        <f t="shared" si="27"/>
        <v>6.6000000000000005</v>
      </c>
      <c r="P62" s="3">
        <f t="shared" si="27"/>
        <v>5.2800000000000011</v>
      </c>
      <c r="Q62" s="3">
        <f t="shared" si="27"/>
        <v>3.3000000000000003</v>
      </c>
      <c r="R62" s="3">
        <f>IF(C62&gt;65,0,IF(OR(AND(子1!C62&gt;=0,子1!C62&lt;=18),AND(子2!C62&gt;=0,子2!C62&lt;=18),AND(子3!C62&gt;=0,子3!C62&lt;=18),AND(子4!C62&gt;=0,子4!C62&lt;=18)),入力!$D$35,入力!$D$34)*12)</f>
        <v>0</v>
      </c>
      <c r="S62" s="14"/>
      <c r="T62" s="18">
        <f t="shared" si="18"/>
        <v>64.02000000000001</v>
      </c>
      <c r="U62" s="24">
        <f t="shared" si="19"/>
        <v>120.29014390328464</v>
      </c>
      <c r="V62" s="3">
        <f t="shared" si="5"/>
        <v>6</v>
      </c>
      <c r="W62" s="3">
        <f t="shared" si="5"/>
        <v>2.4000000000000004</v>
      </c>
      <c r="X62" s="3"/>
      <c r="Y62" s="3"/>
      <c r="Z62" s="3"/>
      <c r="AA62" s="3"/>
      <c r="AB62" s="14"/>
      <c r="AC62" s="18">
        <f t="shared" si="20"/>
        <v>8.4</v>
      </c>
      <c r="AD62" s="24">
        <f t="shared" si="21"/>
        <v>111.89014390328464</v>
      </c>
      <c r="AE62" s="5">
        <f t="shared" si="11"/>
        <v>36</v>
      </c>
      <c r="AF62" s="3"/>
      <c r="AG62" s="3"/>
      <c r="AH62" s="3"/>
      <c r="AI62" s="3"/>
      <c r="AJ62" s="14"/>
      <c r="AK62" s="18">
        <f t="shared" si="12"/>
        <v>36</v>
      </c>
      <c r="AL62" s="24">
        <f t="shared" si="22"/>
        <v>75.890143903284638</v>
      </c>
      <c r="AM62" s="24">
        <f t="shared" si="23"/>
        <v>12735.333478549277</v>
      </c>
      <c r="AQ62" s="24"/>
      <c r="AS62">
        <f>(親2!E62&lt;103)*1+AND(子1!C62&gt;=0,子1!C62&lt;15)*1+AND(子2!C62&gt;=0,子2!C62&lt;15)*1+AND(子3!C62&gt;=0,子3!C62&lt;15)*1+AND(子4!C62&gt;=0,子4!C62&lt;15)*1</f>
        <v>1</v>
      </c>
      <c r="AT62">
        <f>AND(子1!AC62&gt;0)*1+AND(子2!AC62&gt;0)*1+AND(子3!AC62&gt;0)*1+AND(子4!AC62&gt;0)*1</f>
        <v>0</v>
      </c>
      <c r="AU62" t="str">
        <f t="shared" si="13"/>
        <v>夫婦</v>
      </c>
      <c r="AV62" s="1">
        <f>IF(D62,VLOOKUP(D62,年収と手取り!C:I,7,1),0)/9.1%</f>
        <v>0</v>
      </c>
    </row>
    <row r="63" spans="2:48" x14ac:dyDescent="0.25">
      <c r="B63" s="5">
        <f t="shared" si="25"/>
        <v>76</v>
      </c>
      <c r="C63" s="3">
        <f t="shared" si="15"/>
        <v>81</v>
      </c>
      <c r="D63" s="34">
        <f>IF(C63&gt;入力!$D$22,0,VLOOKUP(C63,賃金カーブ!R:T,3,0))</f>
        <v>0</v>
      </c>
      <c r="E63" s="3">
        <f>VLOOKUP(D63,年収と手取り!X:Y,2,1)</f>
        <v>0</v>
      </c>
      <c r="F63" s="3">
        <f>入力!$E$28</f>
        <v>0</v>
      </c>
      <c r="G63" s="3">
        <f>IF(C63=入力!D$22,入力!E$31,0)</f>
        <v>0</v>
      </c>
      <c r="H63" s="3">
        <f t="shared" si="17"/>
        <v>199.66338323076928</v>
      </c>
      <c r="I63" s="14">
        <f>IF(H63&gt;0,-年金の税金!$G$24/10000,0)</f>
        <v>-15.353239327484623</v>
      </c>
      <c r="J63" s="24">
        <f t="shared" si="26"/>
        <v>184.31014390328465</v>
      </c>
      <c r="K63" s="5"/>
      <c r="L63" s="3"/>
      <c r="M63" s="3">
        <f t="shared" si="27"/>
        <v>35.640000000000008</v>
      </c>
      <c r="N63" s="3">
        <f t="shared" si="27"/>
        <v>13.200000000000001</v>
      </c>
      <c r="O63" s="3">
        <f t="shared" si="27"/>
        <v>6.6000000000000005</v>
      </c>
      <c r="P63" s="3">
        <f t="shared" si="27"/>
        <v>5.2800000000000011</v>
      </c>
      <c r="Q63" s="3">
        <f t="shared" si="27"/>
        <v>3.3000000000000003</v>
      </c>
      <c r="R63" s="3">
        <f>IF(C63&gt;65,0,IF(OR(AND(子1!C63&gt;=0,子1!C63&lt;=18),AND(子2!C63&gt;=0,子2!C63&lt;=18),AND(子3!C63&gt;=0,子3!C63&lt;=18),AND(子4!C63&gt;=0,子4!C63&lt;=18)),入力!$D$35,入力!$D$34)*12)</f>
        <v>0</v>
      </c>
      <c r="S63" s="14"/>
      <c r="T63" s="18">
        <f t="shared" si="18"/>
        <v>64.02000000000001</v>
      </c>
      <c r="U63" s="24">
        <f t="shared" si="19"/>
        <v>120.29014390328464</v>
      </c>
      <c r="V63" s="3">
        <f t="shared" si="5"/>
        <v>6</v>
      </c>
      <c r="W63" s="3">
        <f t="shared" si="5"/>
        <v>2.4000000000000004</v>
      </c>
      <c r="X63" s="3"/>
      <c r="Y63" s="3"/>
      <c r="Z63" s="3"/>
      <c r="AA63" s="3"/>
      <c r="AB63" s="14"/>
      <c r="AC63" s="18">
        <f t="shared" si="20"/>
        <v>8.4</v>
      </c>
      <c r="AD63" s="24">
        <f t="shared" si="21"/>
        <v>111.89014390328464</v>
      </c>
      <c r="AE63" s="5">
        <f t="shared" si="11"/>
        <v>36</v>
      </c>
      <c r="AF63" s="3"/>
      <c r="AG63" s="3"/>
      <c r="AH63" s="3"/>
      <c r="AI63" s="3"/>
      <c r="AJ63" s="14"/>
      <c r="AK63" s="18">
        <f t="shared" si="12"/>
        <v>36</v>
      </c>
      <c r="AL63" s="24">
        <f t="shared" si="22"/>
        <v>75.890143903284638</v>
      </c>
      <c r="AM63" s="24">
        <f t="shared" si="23"/>
        <v>12811.223622452562</v>
      </c>
      <c r="AQ63" s="24"/>
      <c r="AS63">
        <f>(親2!E63&lt;103)*1+AND(子1!C63&gt;=0,子1!C63&lt;15)*1+AND(子2!C63&gt;=0,子2!C63&lt;15)*1+AND(子3!C63&gt;=0,子3!C63&lt;15)*1+AND(子4!C63&gt;=0,子4!C63&lt;15)*1</f>
        <v>1</v>
      </c>
      <c r="AT63">
        <f>AND(子1!AC63&gt;0)*1+AND(子2!AC63&gt;0)*1+AND(子3!AC63&gt;0)*1+AND(子4!AC63&gt;0)*1</f>
        <v>0</v>
      </c>
      <c r="AU63" t="str">
        <f t="shared" si="13"/>
        <v>夫婦</v>
      </c>
      <c r="AV63" s="1">
        <f>IF(D63,VLOOKUP(D63,年収と手取り!C:I,7,1),0)/9.1%</f>
        <v>0</v>
      </c>
    </row>
    <row r="64" spans="2:48" x14ac:dyDescent="0.25">
      <c r="B64" s="5">
        <f t="shared" si="25"/>
        <v>77</v>
      </c>
      <c r="C64" s="3">
        <f t="shared" si="15"/>
        <v>82</v>
      </c>
      <c r="D64" s="34">
        <f>IF(C64&gt;入力!$D$22,0,VLOOKUP(C64,賃金カーブ!R:T,3,0))</f>
        <v>0</v>
      </c>
      <c r="E64" s="3">
        <f>VLOOKUP(D64,年収と手取り!X:Y,2,1)</f>
        <v>0</v>
      </c>
      <c r="F64" s="3">
        <f>入力!$E$28</f>
        <v>0</v>
      </c>
      <c r="G64" s="3">
        <f>IF(C64=入力!D$22,入力!E$31,0)</f>
        <v>0</v>
      </c>
      <c r="H64" s="3">
        <f t="shared" si="17"/>
        <v>199.66338323076928</v>
      </c>
      <c r="I64" s="14">
        <f>IF(H64&gt;0,-年金の税金!$G$24/10000,0)</f>
        <v>-15.353239327484623</v>
      </c>
      <c r="J64" s="24">
        <f t="shared" si="26"/>
        <v>184.31014390328465</v>
      </c>
      <c r="K64" s="5"/>
      <c r="L64" s="3"/>
      <c r="M64" s="3">
        <f t="shared" si="27"/>
        <v>35.640000000000008</v>
      </c>
      <c r="N64" s="3">
        <f t="shared" si="27"/>
        <v>13.200000000000001</v>
      </c>
      <c r="O64" s="3">
        <f t="shared" si="27"/>
        <v>6.6000000000000005</v>
      </c>
      <c r="P64" s="3">
        <f t="shared" si="27"/>
        <v>5.2800000000000011</v>
      </c>
      <c r="Q64" s="3">
        <f t="shared" si="27"/>
        <v>3.3000000000000003</v>
      </c>
      <c r="R64" s="3">
        <f>IF(C64&gt;65,0,IF(OR(AND(子1!C64&gt;=0,子1!C64&lt;=18),AND(子2!C64&gt;=0,子2!C64&lt;=18),AND(子3!C64&gt;=0,子3!C64&lt;=18),AND(子4!C64&gt;=0,子4!C64&lt;=18)),入力!$D$35,入力!$D$34)*12)</f>
        <v>0</v>
      </c>
      <c r="S64" s="14"/>
      <c r="T64" s="18">
        <f t="shared" si="18"/>
        <v>64.02000000000001</v>
      </c>
      <c r="U64" s="24">
        <f t="shared" si="19"/>
        <v>120.29014390328464</v>
      </c>
      <c r="V64" s="3">
        <f t="shared" si="5"/>
        <v>6</v>
      </c>
      <c r="W64" s="3">
        <f t="shared" si="5"/>
        <v>2.4000000000000004</v>
      </c>
      <c r="X64" s="3"/>
      <c r="Y64" s="3"/>
      <c r="Z64" s="3"/>
      <c r="AA64" s="3"/>
      <c r="AB64" s="14"/>
      <c r="AC64" s="18">
        <f t="shared" si="20"/>
        <v>8.4</v>
      </c>
      <c r="AD64" s="24">
        <f t="shared" si="21"/>
        <v>111.89014390328464</v>
      </c>
      <c r="AE64" s="5">
        <f t="shared" si="11"/>
        <v>36</v>
      </c>
      <c r="AF64" s="3"/>
      <c r="AG64" s="3"/>
      <c r="AH64" s="3"/>
      <c r="AI64" s="3"/>
      <c r="AJ64" s="14"/>
      <c r="AK64" s="18">
        <f t="shared" si="12"/>
        <v>36</v>
      </c>
      <c r="AL64" s="24">
        <f t="shared" si="22"/>
        <v>75.890143903284638</v>
      </c>
      <c r="AM64" s="24">
        <f t="shared" si="23"/>
        <v>12887.113766355847</v>
      </c>
      <c r="AQ64" s="24"/>
      <c r="AS64">
        <f>(親2!E64&lt;103)*1+AND(子1!C64&gt;=0,子1!C64&lt;15)*1+AND(子2!C64&gt;=0,子2!C64&lt;15)*1+AND(子3!C64&gt;=0,子3!C64&lt;15)*1+AND(子4!C64&gt;=0,子4!C64&lt;15)*1</f>
        <v>1</v>
      </c>
      <c r="AT64">
        <f>AND(子1!AC64&gt;0)*1+AND(子2!AC64&gt;0)*1+AND(子3!AC64&gt;0)*1+AND(子4!AC64&gt;0)*1</f>
        <v>0</v>
      </c>
      <c r="AU64" t="str">
        <f t="shared" si="13"/>
        <v>夫婦</v>
      </c>
      <c r="AV64" s="1">
        <f>IF(D64,VLOOKUP(D64,年収と手取り!C:I,7,1),0)/9.1%</f>
        <v>0</v>
      </c>
    </row>
    <row r="65" spans="2:50" x14ac:dyDescent="0.25">
      <c r="B65" s="5">
        <f t="shared" si="25"/>
        <v>78</v>
      </c>
      <c r="C65" s="3">
        <f t="shared" si="15"/>
        <v>83</v>
      </c>
      <c r="D65" s="34">
        <f>IF(C65&gt;入力!$D$22,0,VLOOKUP(C65,賃金カーブ!R:T,3,0))</f>
        <v>0</v>
      </c>
      <c r="E65" s="3">
        <f>VLOOKUP(D65,年収と手取り!X:Y,2,1)</f>
        <v>0</v>
      </c>
      <c r="F65" s="3">
        <f>入力!$E$28</f>
        <v>0</v>
      </c>
      <c r="G65" s="3">
        <f>IF(C65=入力!D$22,入力!E$31,0)</f>
        <v>0</v>
      </c>
      <c r="H65" s="3">
        <f t="shared" si="17"/>
        <v>199.66338323076928</v>
      </c>
      <c r="I65" s="14">
        <f>IF(H65&gt;0,-年金の税金!$G$24/10000,0)</f>
        <v>-15.353239327484623</v>
      </c>
      <c r="J65" s="24">
        <f t="shared" si="26"/>
        <v>184.31014390328465</v>
      </c>
      <c r="K65" s="5"/>
      <c r="L65" s="3"/>
      <c r="M65" s="3">
        <f t="shared" si="27"/>
        <v>35.640000000000008</v>
      </c>
      <c r="N65" s="3">
        <f t="shared" si="27"/>
        <v>13.200000000000001</v>
      </c>
      <c r="O65" s="3">
        <f t="shared" si="27"/>
        <v>6.6000000000000005</v>
      </c>
      <c r="P65" s="3">
        <f t="shared" si="27"/>
        <v>5.2800000000000011</v>
      </c>
      <c r="Q65" s="3">
        <f t="shared" si="27"/>
        <v>3.3000000000000003</v>
      </c>
      <c r="R65" s="3">
        <f>IF(C65&gt;65,0,IF(OR(AND(子1!C65&gt;=0,子1!C65&lt;=18),AND(子2!C65&gt;=0,子2!C65&lt;=18),AND(子3!C65&gt;=0,子3!C65&lt;=18),AND(子4!C65&gt;=0,子4!C65&lt;=18)),入力!$D$35,入力!$D$34)*12)</f>
        <v>0</v>
      </c>
      <c r="S65" s="14"/>
      <c r="T65" s="18">
        <f t="shared" si="18"/>
        <v>64.02000000000001</v>
      </c>
      <c r="U65" s="24">
        <f t="shared" si="19"/>
        <v>120.29014390328464</v>
      </c>
      <c r="V65" s="3">
        <f t="shared" si="5"/>
        <v>6</v>
      </c>
      <c r="W65" s="3">
        <f t="shared" si="5"/>
        <v>2.4000000000000004</v>
      </c>
      <c r="X65" s="3"/>
      <c r="Y65" s="3"/>
      <c r="Z65" s="3"/>
      <c r="AA65" s="3"/>
      <c r="AB65" s="14"/>
      <c r="AC65" s="18">
        <f t="shared" si="20"/>
        <v>8.4</v>
      </c>
      <c r="AD65" s="24">
        <f t="shared" si="21"/>
        <v>111.89014390328464</v>
      </c>
      <c r="AE65" s="5">
        <f t="shared" si="11"/>
        <v>36</v>
      </c>
      <c r="AF65" s="3"/>
      <c r="AG65" s="3"/>
      <c r="AH65" s="3"/>
      <c r="AI65" s="3"/>
      <c r="AJ65" s="14"/>
      <c r="AK65" s="18">
        <f t="shared" si="12"/>
        <v>36</v>
      </c>
      <c r="AL65" s="24">
        <f t="shared" si="22"/>
        <v>75.890143903284638</v>
      </c>
      <c r="AM65" s="24">
        <f t="shared" si="23"/>
        <v>12963.003910259133</v>
      </c>
      <c r="AQ65" s="24"/>
      <c r="AS65">
        <f>(親2!E65&lt;103)*1+AND(子1!C65&gt;=0,子1!C65&lt;15)*1+AND(子2!C65&gt;=0,子2!C65&lt;15)*1+AND(子3!C65&gt;=0,子3!C65&lt;15)*1+AND(子4!C65&gt;=0,子4!C65&lt;15)*1</f>
        <v>1</v>
      </c>
      <c r="AT65">
        <f>AND(子1!AC65&gt;0)*1+AND(子2!AC65&gt;0)*1+AND(子3!AC65&gt;0)*1+AND(子4!AC65&gt;0)*1</f>
        <v>0</v>
      </c>
      <c r="AU65" t="str">
        <f t="shared" si="13"/>
        <v>夫婦</v>
      </c>
      <c r="AV65" s="1">
        <f>IF(D65,VLOOKUP(D65,年収と手取り!C:I,7,1),0)/9.1%</f>
        <v>0</v>
      </c>
    </row>
    <row r="66" spans="2:50" x14ac:dyDescent="0.25">
      <c r="B66" s="5">
        <f t="shared" si="25"/>
        <v>79</v>
      </c>
      <c r="C66" s="3">
        <f t="shared" si="15"/>
        <v>84</v>
      </c>
      <c r="D66" s="34">
        <f>IF(C66&gt;入力!$D$22,0,VLOOKUP(C66,賃金カーブ!R:T,3,0))</f>
        <v>0</v>
      </c>
      <c r="E66" s="3">
        <f>VLOOKUP(D66,年収と手取り!X:Y,2,1)</f>
        <v>0</v>
      </c>
      <c r="F66" s="3">
        <f>入力!$E$28</f>
        <v>0</v>
      </c>
      <c r="G66" s="3">
        <f>IF(C66=入力!D$22,入力!E$31,0)</f>
        <v>0</v>
      </c>
      <c r="H66" s="3">
        <f t="shared" si="17"/>
        <v>199.66338323076928</v>
      </c>
      <c r="I66" s="14">
        <f>IF(H66&gt;0,-年金の税金!$G$24/10000,0)</f>
        <v>-15.353239327484623</v>
      </c>
      <c r="J66" s="24">
        <f t="shared" si="26"/>
        <v>184.31014390328465</v>
      </c>
      <c r="K66" s="5"/>
      <c r="L66" s="3"/>
      <c r="M66" s="3">
        <f t="shared" si="27"/>
        <v>35.640000000000008</v>
      </c>
      <c r="N66" s="3">
        <f t="shared" si="27"/>
        <v>13.200000000000001</v>
      </c>
      <c r="O66" s="3">
        <f t="shared" si="27"/>
        <v>6.6000000000000005</v>
      </c>
      <c r="P66" s="3">
        <f t="shared" si="27"/>
        <v>5.2800000000000011</v>
      </c>
      <c r="Q66" s="3">
        <f t="shared" si="27"/>
        <v>3.3000000000000003</v>
      </c>
      <c r="R66" s="3">
        <f>IF(C66&gt;65,0,IF(OR(AND(子1!C66&gt;=0,子1!C66&lt;=18),AND(子2!C66&gt;=0,子2!C66&lt;=18),AND(子3!C66&gt;=0,子3!C66&lt;=18),AND(子4!C66&gt;=0,子4!C66&lt;=18)),入力!$D$35,入力!$D$34)*12)</f>
        <v>0</v>
      </c>
      <c r="S66" s="14"/>
      <c r="T66" s="18">
        <f t="shared" si="18"/>
        <v>64.02000000000001</v>
      </c>
      <c r="U66" s="24">
        <f t="shared" si="19"/>
        <v>120.29014390328464</v>
      </c>
      <c r="V66" s="3">
        <f t="shared" si="5"/>
        <v>6</v>
      </c>
      <c r="W66" s="3">
        <f t="shared" si="5"/>
        <v>2.4000000000000004</v>
      </c>
      <c r="X66" s="3"/>
      <c r="Y66" s="3"/>
      <c r="Z66" s="3"/>
      <c r="AA66" s="3"/>
      <c r="AB66" s="14"/>
      <c r="AC66" s="18">
        <f t="shared" si="20"/>
        <v>8.4</v>
      </c>
      <c r="AD66" s="24">
        <f t="shared" si="21"/>
        <v>111.89014390328464</v>
      </c>
      <c r="AE66" s="5">
        <f t="shared" si="11"/>
        <v>36</v>
      </c>
      <c r="AF66" s="3"/>
      <c r="AG66" s="3"/>
      <c r="AH66" s="3"/>
      <c r="AI66" s="3"/>
      <c r="AJ66" s="14"/>
      <c r="AK66" s="18">
        <f t="shared" si="12"/>
        <v>36</v>
      </c>
      <c r="AL66" s="24">
        <f t="shared" si="22"/>
        <v>75.890143903284638</v>
      </c>
      <c r="AM66" s="24">
        <f t="shared" si="23"/>
        <v>13038.894054162418</v>
      </c>
      <c r="AQ66" s="24"/>
      <c r="AS66">
        <f>(親2!E66&lt;103)*1+AND(子1!C66&gt;=0,子1!C66&lt;15)*1+AND(子2!C66&gt;=0,子2!C66&lt;15)*1+AND(子3!C66&gt;=0,子3!C66&lt;15)*1+AND(子4!C66&gt;=0,子4!C66&lt;15)*1</f>
        <v>1</v>
      </c>
      <c r="AT66">
        <f>AND(子1!AC66&gt;0)*1+AND(子2!AC66&gt;0)*1+AND(子3!AC66&gt;0)*1+AND(子4!AC66&gt;0)*1</f>
        <v>0</v>
      </c>
      <c r="AU66" t="str">
        <f t="shared" si="13"/>
        <v>夫婦</v>
      </c>
      <c r="AV66" s="1">
        <f>IF(D66,VLOOKUP(D66,年収と手取り!C:I,7,1),0)/9.1%</f>
        <v>0</v>
      </c>
    </row>
    <row r="67" spans="2:50" x14ac:dyDescent="0.25">
      <c r="B67" s="5">
        <f t="shared" si="25"/>
        <v>80</v>
      </c>
      <c r="C67" s="3">
        <f t="shared" si="15"/>
        <v>85</v>
      </c>
      <c r="D67" s="34">
        <f>IF(C67&gt;入力!$D$22,0,VLOOKUP(C67,賃金カーブ!R:T,3,0))</f>
        <v>0</v>
      </c>
      <c r="E67" s="3">
        <f>VLOOKUP(D67,年収と手取り!X:Y,2,1)</f>
        <v>0</v>
      </c>
      <c r="F67" s="3">
        <f>入力!$E$28</f>
        <v>0</v>
      </c>
      <c r="G67" s="3">
        <f>IF(C67=入力!D$22,入力!E$31,0)</f>
        <v>0</v>
      </c>
      <c r="H67" s="3">
        <f t="shared" si="17"/>
        <v>199.66338323076928</v>
      </c>
      <c r="I67" s="14">
        <f>IF(H67&gt;0,-年金の税金!$G$24/10000,0)</f>
        <v>-15.353239327484623</v>
      </c>
      <c r="J67" s="24">
        <f t="shared" si="26"/>
        <v>184.31014390328465</v>
      </c>
      <c r="K67" s="5"/>
      <c r="L67" s="3"/>
      <c r="M67" s="3">
        <f t="shared" si="27"/>
        <v>35.640000000000008</v>
      </c>
      <c r="N67" s="3">
        <f t="shared" si="27"/>
        <v>13.200000000000001</v>
      </c>
      <c r="O67" s="3">
        <f t="shared" si="27"/>
        <v>6.6000000000000005</v>
      </c>
      <c r="P67" s="3">
        <f t="shared" si="27"/>
        <v>5.2800000000000011</v>
      </c>
      <c r="Q67" s="3">
        <f t="shared" si="27"/>
        <v>3.3000000000000003</v>
      </c>
      <c r="R67" s="3">
        <f>IF(C67&gt;65,0,IF(OR(AND(子1!C67&gt;=0,子1!C67&lt;=18),AND(子2!C67&gt;=0,子2!C67&lt;=18),AND(子3!C67&gt;=0,子3!C67&lt;=18),AND(子4!C67&gt;=0,子4!C67&lt;=18)),入力!$D$35,入力!$D$34)*12)</f>
        <v>0</v>
      </c>
      <c r="S67" s="14"/>
      <c r="T67" s="18">
        <f t="shared" si="18"/>
        <v>64.02000000000001</v>
      </c>
      <c r="U67" s="24">
        <f t="shared" si="19"/>
        <v>120.29014390328464</v>
      </c>
      <c r="V67" s="3">
        <f t="shared" si="5"/>
        <v>6</v>
      </c>
      <c r="W67" s="3">
        <f t="shared" si="5"/>
        <v>2.4000000000000004</v>
      </c>
      <c r="X67" s="3"/>
      <c r="Y67" s="3"/>
      <c r="Z67" s="3"/>
      <c r="AA67" s="3"/>
      <c r="AB67" s="14"/>
      <c r="AC67" s="18">
        <f t="shared" si="20"/>
        <v>8.4</v>
      </c>
      <c r="AD67" s="24">
        <f t="shared" si="21"/>
        <v>111.89014390328464</v>
      </c>
      <c r="AE67" s="5">
        <f t="shared" si="11"/>
        <v>36</v>
      </c>
      <c r="AF67" s="3"/>
      <c r="AG67" s="3"/>
      <c r="AH67" s="3"/>
      <c r="AI67" s="3"/>
      <c r="AJ67" s="14"/>
      <c r="AK67" s="18">
        <f t="shared" si="12"/>
        <v>36</v>
      </c>
      <c r="AL67" s="24">
        <f t="shared" si="22"/>
        <v>75.890143903284638</v>
      </c>
      <c r="AM67" s="24">
        <f t="shared" si="23"/>
        <v>13114.784198065703</v>
      </c>
      <c r="AQ67" s="24"/>
      <c r="AS67">
        <f>(親2!E67&lt;103)*1+AND(子1!C67&gt;=0,子1!C67&lt;15)*1+AND(子2!C67&gt;=0,子2!C67&lt;15)*1+AND(子3!C67&gt;=0,子3!C67&lt;15)*1+AND(子4!C67&gt;=0,子4!C67&lt;15)*1</f>
        <v>1</v>
      </c>
      <c r="AT67">
        <f>AND(子1!AC67&gt;0)*1+AND(子2!AC67&gt;0)*1+AND(子3!AC67&gt;0)*1+AND(子4!AC67&gt;0)*1</f>
        <v>0</v>
      </c>
      <c r="AU67" t="str">
        <f t="shared" si="13"/>
        <v>夫婦</v>
      </c>
      <c r="AV67" s="1">
        <f>IF(D67,VLOOKUP(D67,年収と手取り!C:I,7,1),0)/9.1%</f>
        <v>0</v>
      </c>
    </row>
    <row r="68" spans="2:50" x14ac:dyDescent="0.25">
      <c r="B68" s="5">
        <f t="shared" si="25"/>
        <v>81</v>
      </c>
      <c r="C68" s="3">
        <f t="shared" si="15"/>
        <v>86</v>
      </c>
      <c r="D68" s="34">
        <f>IF(C68&gt;入力!$D$22,0,VLOOKUP(C68,賃金カーブ!R:T,3,0))</f>
        <v>0</v>
      </c>
      <c r="E68" s="3">
        <f>VLOOKUP(D68,年収と手取り!X:Y,2,1)</f>
        <v>0</v>
      </c>
      <c r="F68" s="3">
        <f>入力!$E$28</f>
        <v>0</v>
      </c>
      <c r="G68" s="3">
        <f>IF(C68=入力!D$22,入力!E$31,0)</f>
        <v>0</v>
      </c>
      <c r="H68" s="3">
        <f t="shared" si="17"/>
        <v>199.66338323076928</v>
      </c>
      <c r="I68" s="14">
        <f>IF(H68&gt;0,-年金の税金!$G$24/10000,0)</f>
        <v>-15.353239327484623</v>
      </c>
      <c r="J68" s="24">
        <f t="shared" si="26"/>
        <v>184.31014390328465</v>
      </c>
      <c r="K68" s="5"/>
      <c r="L68" s="3"/>
      <c r="M68" s="3">
        <f t="shared" si="27"/>
        <v>35.640000000000008</v>
      </c>
      <c r="N68" s="3">
        <f t="shared" si="27"/>
        <v>13.200000000000001</v>
      </c>
      <c r="O68" s="3">
        <f t="shared" si="27"/>
        <v>6.6000000000000005</v>
      </c>
      <c r="P68" s="3">
        <f t="shared" si="27"/>
        <v>5.2800000000000011</v>
      </c>
      <c r="Q68" s="3">
        <f t="shared" si="27"/>
        <v>3.3000000000000003</v>
      </c>
      <c r="R68" s="3">
        <f>IF(C68&gt;65,0,IF(OR(AND(子1!C68&gt;=0,子1!C68&lt;=18),AND(子2!C68&gt;=0,子2!C68&lt;=18),AND(子3!C68&gt;=0,子3!C68&lt;=18),AND(子4!C68&gt;=0,子4!C68&lt;=18)),入力!$D$35,入力!$D$34)*12)</f>
        <v>0</v>
      </c>
      <c r="S68" s="14"/>
      <c r="T68" s="18">
        <f t="shared" si="18"/>
        <v>64.02000000000001</v>
      </c>
      <c r="U68" s="24">
        <f t="shared" si="19"/>
        <v>120.29014390328464</v>
      </c>
      <c r="V68" s="3">
        <f t="shared" si="5"/>
        <v>6</v>
      </c>
      <c r="W68" s="3">
        <f t="shared" si="5"/>
        <v>2.4000000000000004</v>
      </c>
      <c r="X68" s="3"/>
      <c r="Y68" s="3"/>
      <c r="Z68" s="3"/>
      <c r="AA68" s="3"/>
      <c r="AB68" s="14"/>
      <c r="AC68" s="18">
        <f t="shared" si="20"/>
        <v>8.4</v>
      </c>
      <c r="AD68" s="24">
        <f t="shared" si="21"/>
        <v>111.89014390328464</v>
      </c>
      <c r="AE68" s="5">
        <f t="shared" si="11"/>
        <v>36</v>
      </c>
      <c r="AF68" s="3"/>
      <c r="AG68" s="3"/>
      <c r="AH68" s="3"/>
      <c r="AI68" s="3"/>
      <c r="AJ68" s="14"/>
      <c r="AK68" s="18">
        <f t="shared" si="12"/>
        <v>36</v>
      </c>
      <c r="AL68" s="24">
        <f t="shared" si="22"/>
        <v>75.890143903284638</v>
      </c>
      <c r="AM68" s="24">
        <f t="shared" si="23"/>
        <v>13190.674341968988</v>
      </c>
      <c r="AQ68" s="24"/>
      <c r="AS68">
        <f>(親2!E68&lt;103)*1+AND(子1!C68&gt;=0,子1!C68&lt;15)*1+AND(子2!C68&gt;=0,子2!C68&lt;15)*1+AND(子3!C68&gt;=0,子3!C68&lt;15)*1+AND(子4!C68&gt;=0,子4!C68&lt;15)*1</f>
        <v>1</v>
      </c>
      <c r="AT68">
        <f>AND(子1!AC68&gt;0)*1+AND(子2!AC68&gt;0)*1+AND(子3!AC68&gt;0)*1+AND(子4!AC68&gt;0)*1</f>
        <v>0</v>
      </c>
      <c r="AU68" t="str">
        <f t="shared" si="13"/>
        <v>夫婦</v>
      </c>
      <c r="AV68" s="1">
        <f>IF(D68,VLOOKUP(D68,年収と手取り!C:I,7,1),0)/9.1%</f>
        <v>0</v>
      </c>
    </row>
    <row r="69" spans="2:50" x14ac:dyDescent="0.25">
      <c r="B69" s="5">
        <f t="shared" si="25"/>
        <v>82</v>
      </c>
      <c r="C69" s="3">
        <f t="shared" si="15"/>
        <v>87</v>
      </c>
      <c r="D69" s="34">
        <f>IF(C69&gt;入力!$D$22,0,VLOOKUP(C69,賃金カーブ!R:T,3,0))</f>
        <v>0</v>
      </c>
      <c r="E69" s="3">
        <f>VLOOKUP(D69,年収と手取り!X:Y,2,1)</f>
        <v>0</v>
      </c>
      <c r="F69" s="3">
        <f>入力!$E$28</f>
        <v>0</v>
      </c>
      <c r="G69" s="3">
        <f>IF(C69=入力!D$22,入力!E$31,0)</f>
        <v>0</v>
      </c>
      <c r="H69" s="3">
        <f t="shared" si="17"/>
        <v>199.66338323076928</v>
      </c>
      <c r="I69" s="14">
        <f>IF(H69&gt;0,-年金の税金!$G$24/10000,0)</f>
        <v>-15.353239327484623</v>
      </c>
      <c r="J69" s="24">
        <f t="shared" si="26"/>
        <v>184.31014390328465</v>
      </c>
      <c r="K69" s="5"/>
      <c r="L69" s="3"/>
      <c r="M69" s="3">
        <f t="shared" si="27"/>
        <v>35.640000000000008</v>
      </c>
      <c r="N69" s="3">
        <f t="shared" si="27"/>
        <v>13.200000000000001</v>
      </c>
      <c r="O69" s="3">
        <f t="shared" si="27"/>
        <v>6.6000000000000005</v>
      </c>
      <c r="P69" s="3">
        <f t="shared" si="27"/>
        <v>5.2800000000000011</v>
      </c>
      <c r="Q69" s="3">
        <f t="shared" si="27"/>
        <v>3.3000000000000003</v>
      </c>
      <c r="R69" s="3">
        <f>IF(C69&gt;65,0,IF(OR(AND(子1!C69&gt;=0,子1!C69&lt;=18),AND(子2!C69&gt;=0,子2!C69&lt;=18),AND(子3!C69&gt;=0,子3!C69&lt;=18),AND(子4!C69&gt;=0,子4!C69&lt;=18)),入力!$D$35,入力!$D$34)*12)</f>
        <v>0</v>
      </c>
      <c r="S69" s="14"/>
      <c r="T69" s="18">
        <f t="shared" si="18"/>
        <v>64.02000000000001</v>
      </c>
      <c r="U69" s="24">
        <f t="shared" si="19"/>
        <v>120.29014390328464</v>
      </c>
      <c r="V69" s="3">
        <f t="shared" si="5"/>
        <v>6</v>
      </c>
      <c r="W69" s="3">
        <f t="shared" si="5"/>
        <v>2.4000000000000004</v>
      </c>
      <c r="X69" s="3"/>
      <c r="Y69" s="3"/>
      <c r="Z69" s="3"/>
      <c r="AA69" s="3"/>
      <c r="AB69" s="3"/>
      <c r="AC69" s="27">
        <f t="shared" si="20"/>
        <v>8.4</v>
      </c>
      <c r="AD69" s="24">
        <f t="shared" si="21"/>
        <v>111.89014390328464</v>
      </c>
      <c r="AE69" s="5">
        <f t="shared" si="11"/>
        <v>36</v>
      </c>
      <c r="AF69" s="3"/>
      <c r="AG69" s="3"/>
      <c r="AH69" s="3"/>
      <c r="AI69" s="3"/>
      <c r="AJ69" s="14"/>
      <c r="AK69" s="18">
        <f t="shared" si="12"/>
        <v>36</v>
      </c>
      <c r="AL69" s="24">
        <f t="shared" si="22"/>
        <v>75.890143903284638</v>
      </c>
      <c r="AM69" s="24">
        <f t="shared" si="23"/>
        <v>13266.564485872274</v>
      </c>
      <c r="AQ69" s="24"/>
      <c r="AS69">
        <f>(親2!E69&lt;103)*1+AND(子1!C69&gt;=0,子1!C69&lt;15)*1+AND(子2!C69&gt;=0,子2!C69&lt;15)*1+AND(子3!C69&gt;=0,子3!C69&lt;15)*1+AND(子4!C69&gt;=0,子4!C69&lt;15)*1</f>
        <v>1</v>
      </c>
      <c r="AT69">
        <f>AND(子1!AC69&gt;0)*1+AND(子2!AC69&gt;0)*1+AND(子3!AC69&gt;0)*1+AND(子4!AC69&gt;0)*1</f>
        <v>0</v>
      </c>
      <c r="AU69" t="str">
        <f t="shared" si="13"/>
        <v>夫婦</v>
      </c>
      <c r="AV69" s="1">
        <f>IF(D69,VLOOKUP(D69,年収と手取り!C:I,7,1),0)/9.1%</f>
        <v>0</v>
      </c>
    </row>
    <row r="70" spans="2:50" ht="15" thickBot="1" x14ac:dyDescent="0.3">
      <c r="B70" s="5">
        <f t="shared" si="25"/>
        <v>83</v>
      </c>
      <c r="C70" s="3">
        <f t="shared" si="15"/>
        <v>88</v>
      </c>
      <c r="D70" s="34">
        <f>IF(C70&gt;入力!$D$22,0,VLOOKUP(C70,賃金カーブ!R:T,3,0))</f>
        <v>0</v>
      </c>
      <c r="E70" s="3">
        <f>VLOOKUP(D70,年収と手取り!X:Y,2,1)</f>
        <v>0</v>
      </c>
      <c r="F70" s="3">
        <f>入力!$E$28</f>
        <v>0</v>
      </c>
      <c r="G70" s="3">
        <f>IF(C70=入力!D$22,入力!E$31,0)</f>
        <v>0</v>
      </c>
      <c r="H70" s="3">
        <f t="shared" si="17"/>
        <v>199.66338323076928</v>
      </c>
      <c r="I70" s="14">
        <f>IF(H70&gt;0,-年金の税金!$G$24/10000,0)</f>
        <v>-15.353239327484623</v>
      </c>
      <c r="J70" s="24">
        <f t="shared" si="26"/>
        <v>184.31014390328465</v>
      </c>
      <c r="K70" s="5"/>
      <c r="L70" s="3"/>
      <c r="M70" s="3">
        <f t="shared" si="27"/>
        <v>35.640000000000008</v>
      </c>
      <c r="N70" s="3">
        <f t="shared" si="27"/>
        <v>13.200000000000001</v>
      </c>
      <c r="O70" s="3">
        <f t="shared" si="27"/>
        <v>6.6000000000000005</v>
      </c>
      <c r="P70" s="3">
        <f t="shared" si="27"/>
        <v>5.2800000000000011</v>
      </c>
      <c r="Q70" s="3">
        <f t="shared" si="27"/>
        <v>3.3000000000000003</v>
      </c>
      <c r="R70" s="3">
        <f>IF(C70&gt;65,0,IF(OR(AND(子1!C70&gt;=0,子1!C70&lt;=18),AND(子2!C70&gt;=0,子2!C70&lt;=18),AND(子3!C70&gt;=0,子3!C70&lt;=18),AND(子4!C70&gt;=0,子4!C70&lt;=18)),入力!$D$35,入力!$D$34)*12)</f>
        <v>0</v>
      </c>
      <c r="S70" s="14"/>
      <c r="T70" s="18">
        <f t="shared" ref="T70" si="28">SUM(K70:S70)</f>
        <v>64.02000000000001</v>
      </c>
      <c r="U70" s="24">
        <f t="shared" ref="U70" si="29">J70-T70</f>
        <v>120.29014390328464</v>
      </c>
      <c r="V70" s="3">
        <f t="shared" ref="V70:W70" si="30">V$1</f>
        <v>6</v>
      </c>
      <c r="W70" s="3">
        <f t="shared" si="30"/>
        <v>2.4000000000000004</v>
      </c>
      <c r="X70" s="3"/>
      <c r="Y70" s="3"/>
      <c r="Z70" s="3"/>
      <c r="AA70" s="3"/>
      <c r="AB70" s="3"/>
      <c r="AC70" s="27">
        <f t="shared" ref="AC70" si="31">SUM(V70:AB70)</f>
        <v>8.4</v>
      </c>
      <c r="AD70" s="24">
        <f t="shared" ref="AD70" si="32">U70-AC70</f>
        <v>111.89014390328464</v>
      </c>
      <c r="AE70" s="5">
        <f t="shared" si="11"/>
        <v>36</v>
      </c>
      <c r="AF70" s="3"/>
      <c r="AG70" s="3"/>
      <c r="AH70" s="3"/>
      <c r="AI70" s="3"/>
      <c r="AJ70" s="14"/>
      <c r="AK70" s="18">
        <f t="shared" si="12"/>
        <v>36</v>
      </c>
      <c r="AL70" s="24">
        <f t="shared" ref="AL70" si="33">AD70-AK70</f>
        <v>75.890143903284638</v>
      </c>
      <c r="AM70" s="25">
        <f t="shared" ref="AM70" si="34">AL70+AM69</f>
        <v>13342.454629775559</v>
      </c>
      <c r="AQ70" s="24"/>
      <c r="AS70">
        <f>(親2!E70&lt;103)*1+AND(子1!C70&gt;=0,子1!C70&lt;15)*1+AND(子2!C70&gt;=0,子2!C70&lt;15)*1+AND(子3!C70&gt;=0,子3!C70&lt;15)*1+AND(子4!C70&gt;=0,子4!C70&lt;15)*1</f>
        <v>1</v>
      </c>
      <c r="AT70">
        <f>AND(子1!AC70&gt;0)*1+AND(子2!AC70&gt;0)*1+AND(子3!AC70&gt;0)*1+AND(子4!AC70&gt;0)*1</f>
        <v>0</v>
      </c>
      <c r="AU70" t="str">
        <f t="shared" si="13"/>
        <v>夫婦</v>
      </c>
      <c r="AV70" s="1">
        <f>IF(D70,VLOOKUP(D70,年収と手取り!C:I,7,1),0)/9.1%</f>
        <v>0</v>
      </c>
    </row>
    <row r="71" spans="2:50" ht="15" thickTop="1" x14ac:dyDescent="0.25">
      <c r="B71" s="35"/>
      <c r="C71" s="2"/>
      <c r="D71" s="36">
        <f t="shared" ref="D71:R71" si="35">SUM(D6:D70)</f>
        <v>21757.664495573739</v>
      </c>
      <c r="E71" s="2">
        <f t="shared" si="35"/>
        <v>16654.621320000002</v>
      </c>
      <c r="F71" s="2">
        <f t="shared" si="35"/>
        <v>0</v>
      </c>
      <c r="G71" s="2">
        <f t="shared" si="35"/>
        <v>0</v>
      </c>
      <c r="H71" s="2">
        <f t="shared" si="35"/>
        <v>4592.2578143076935</v>
      </c>
      <c r="I71" s="37">
        <f t="shared" si="35"/>
        <v>-353.12450453214643</v>
      </c>
      <c r="J71" s="38">
        <f t="shared" si="35"/>
        <v>20893.754629775522</v>
      </c>
      <c r="K71" s="35">
        <f t="shared" si="35"/>
        <v>0</v>
      </c>
      <c r="L71" s="2">
        <f t="shared" si="35"/>
        <v>0</v>
      </c>
      <c r="M71" s="2">
        <f t="shared" si="35"/>
        <v>2316.6000000000017</v>
      </c>
      <c r="N71" s="2">
        <f t="shared" si="35"/>
        <v>858.00000000000091</v>
      </c>
      <c r="O71" s="2">
        <f t="shared" si="35"/>
        <v>429.00000000000045</v>
      </c>
      <c r="P71" s="2">
        <f t="shared" si="35"/>
        <v>343.19999999999959</v>
      </c>
      <c r="Q71" s="2">
        <f t="shared" si="35"/>
        <v>214.50000000000023</v>
      </c>
      <c r="R71" s="2">
        <f t="shared" si="35"/>
        <v>504</v>
      </c>
      <c r="S71" s="2">
        <f t="shared" ref="S71:AK71" si="36">SUM(S6:S70)</f>
        <v>0</v>
      </c>
      <c r="T71" s="39">
        <f t="shared" si="36"/>
        <v>4665.3000000000029</v>
      </c>
      <c r="U71" s="38">
        <f t="shared" si="36"/>
        <v>16228.45462977555</v>
      </c>
      <c r="V71" s="2">
        <f t="shared" si="36"/>
        <v>390</v>
      </c>
      <c r="W71" s="2">
        <f t="shared" si="36"/>
        <v>156.0000000000002</v>
      </c>
      <c r="X71" s="2">
        <f t="shared" si="36"/>
        <v>0</v>
      </c>
      <c r="Y71" s="2">
        <f t="shared" si="36"/>
        <v>0</v>
      </c>
      <c r="Z71" s="2">
        <f t="shared" si="36"/>
        <v>0</v>
      </c>
      <c r="AA71" s="2">
        <f t="shared" si="36"/>
        <v>0</v>
      </c>
      <c r="AB71" s="2">
        <f t="shared" si="36"/>
        <v>0</v>
      </c>
      <c r="AC71" s="39">
        <f t="shared" si="36"/>
        <v>545.99999999999932</v>
      </c>
      <c r="AD71" s="38">
        <f t="shared" si="36"/>
        <v>15682.454629775562</v>
      </c>
      <c r="AE71" s="35">
        <f t="shared" si="36"/>
        <v>2340</v>
      </c>
      <c r="AF71" s="2">
        <f t="shared" si="36"/>
        <v>0</v>
      </c>
      <c r="AG71" s="2">
        <f t="shared" si="36"/>
        <v>0</v>
      </c>
      <c r="AH71" s="2">
        <f t="shared" si="36"/>
        <v>0</v>
      </c>
      <c r="AI71" s="2">
        <f t="shared" si="36"/>
        <v>0</v>
      </c>
      <c r="AJ71" s="37">
        <f t="shared" si="36"/>
        <v>0</v>
      </c>
      <c r="AK71" s="40">
        <f t="shared" si="36"/>
        <v>2340</v>
      </c>
      <c r="AL71" s="38">
        <f>SUM(AL5:AL70)</f>
        <v>13342.454629775559</v>
      </c>
      <c r="AM71"/>
      <c r="AQ71" s="38"/>
      <c r="AV71" s="1">
        <f>AVERAGEIF(AV6:AV70,"&gt;0")</f>
        <v>516.24960753532196</v>
      </c>
      <c r="AW71">
        <f>COUNTIF(AV6:AV70,"&gt;0")</f>
        <v>42</v>
      </c>
      <c r="AX71" s="140">
        <f>AV71*AW71</f>
        <v>21682.483516483524</v>
      </c>
    </row>
    <row r="72" spans="2:50" x14ac:dyDescent="0.25">
      <c r="AM72"/>
      <c r="AQ72" s="38"/>
      <c r="AV72" s="1">
        <f>AV6*2/3</f>
        <v>257.40659340659334</v>
      </c>
      <c r="AW72" s="140">
        <f>C6-22</f>
        <v>2</v>
      </c>
      <c r="AX72">
        <f>AV72*AW72</f>
        <v>514.81318681318669</v>
      </c>
    </row>
    <row r="73" spans="2:50" x14ac:dyDescent="0.25">
      <c r="AM73"/>
      <c r="AQ73" s="38"/>
      <c r="AX73" s="140">
        <f>SUM(AX71:AX72)/SUM(AW71:AW72)/12</f>
        <v>42.040334665334676</v>
      </c>
    </row>
    <row r="74" spans="2:50" x14ac:dyDescent="0.25">
      <c r="AM74"/>
      <c r="AQ74" s="38"/>
      <c r="AX74">
        <f>AX73*0.005481*SUM(AW71:AW72)</f>
        <v>10.138615269230772</v>
      </c>
    </row>
    <row r="75" spans="2:50" x14ac:dyDescent="0.25">
      <c r="AQ75" s="38"/>
    </row>
    <row r="76" spans="2:50" x14ac:dyDescent="0.25">
      <c r="F76" s="1" t="s">
        <v>83</v>
      </c>
      <c r="AQ76" s="38"/>
    </row>
    <row r="77" spans="2:50" x14ac:dyDescent="0.25">
      <c r="AQ77" s="38"/>
    </row>
    <row r="78" spans="2:50" x14ac:dyDescent="0.25">
      <c r="AQ78" s="38"/>
    </row>
    <row r="79" spans="2:50" x14ac:dyDescent="0.25">
      <c r="AQ79" s="38"/>
    </row>
    <row r="80" spans="2:50" x14ac:dyDescent="0.25">
      <c r="V80" s="1" t="s">
        <v>231</v>
      </c>
    </row>
    <row r="81" spans="13:31" x14ac:dyDescent="0.25">
      <c r="M81" s="1" t="s">
        <v>226</v>
      </c>
      <c r="N81" s="1" t="s">
        <v>18</v>
      </c>
      <c r="O81" s="1" t="s">
        <v>227</v>
      </c>
      <c r="P81" s="1" t="s">
        <v>228</v>
      </c>
      <c r="Q81" s="1" t="s">
        <v>229</v>
      </c>
      <c r="R81" s="1" t="s">
        <v>230</v>
      </c>
      <c r="S81" s="1" t="s">
        <v>233</v>
      </c>
      <c r="AE81" s="1" t="s">
        <v>234</v>
      </c>
    </row>
  </sheetData>
  <phoneticPr fontId="2"/>
  <pageMargins left="0.7" right="0.7" top="0.75" bottom="0.75" header="0.3" footer="0.3"/>
  <pageSetup paperSize="8"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B1:AW79"/>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E9" sqref="E9"/>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8" width="6.25" style="1" bestFit="1" customWidth="1"/>
    <col min="9" max="9" width="4.25" style="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4" width="5.125" style="1" bestFit="1" customWidth="1"/>
    <col min="25" max="25" width="6.25" style="1" bestFit="1" customWidth="1"/>
    <col min="26" max="26" width="5.875" style="1" customWidth="1"/>
    <col min="27"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 min="40" max="41" width="6.25" style="1" bestFit="1" customWidth="1"/>
    <col min="42" max="42" width="6.25" style="1" customWidth="1"/>
    <col min="43" max="43" width="6.25" style="1" bestFit="1" customWidth="1"/>
    <col min="47" max="47" width="6.875" bestFit="1" customWidth="1"/>
    <col min="48" max="48" width="21" bestFit="1" customWidth="1"/>
    <col min="49" max="49" width="18.75" bestFit="1" customWidth="1"/>
  </cols>
  <sheetData>
    <row r="1" spans="2:47" x14ac:dyDescent="0.25">
      <c r="M1" s="3">
        <f>入力!$AD$12*12*(1+入力!$AD$16)</f>
        <v>35.640000000000008</v>
      </c>
      <c r="N1" s="3">
        <f>入力!$AE$12*12*(1+入力!$AD$16)</f>
        <v>13.200000000000001</v>
      </c>
      <c r="O1" s="3">
        <f>入力!$AF$12*12*(1+入力!$AD$16)</f>
        <v>3.3000000000000003</v>
      </c>
      <c r="P1" s="3">
        <f>入力!$AG$12*12*(1+入力!$AD$16)</f>
        <v>2.6400000000000006</v>
      </c>
      <c r="Q1" s="3">
        <f>入力!$AH$12*12*(1+入力!$AD$16)</f>
        <v>1.6500000000000001</v>
      </c>
      <c r="V1" s="1">
        <f>入力!$AI$12*12</f>
        <v>0</v>
      </c>
      <c r="W1" s="1">
        <f>入力!$AJ$12*12</f>
        <v>2.4000000000000004</v>
      </c>
      <c r="AE1" s="1">
        <f>入力!$I$38*12</f>
        <v>12</v>
      </c>
    </row>
    <row r="2" spans="2:47"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c r="AN2" s="20"/>
      <c r="AO2" s="20"/>
      <c r="AP2" s="20"/>
      <c r="AQ2" s="21"/>
    </row>
    <row r="3" spans="2:47"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c r="AN3" s="179"/>
      <c r="AO3" s="179"/>
      <c r="AP3" s="153"/>
      <c r="AQ3" s="22"/>
    </row>
    <row r="4" spans="2:47"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c r="AB4" s="68"/>
      <c r="AC4" s="69"/>
      <c r="AD4" s="65"/>
      <c r="AE4" s="11" t="s">
        <v>162</v>
      </c>
      <c r="AF4" s="12" t="s">
        <v>29</v>
      </c>
      <c r="AG4" s="12" t="s">
        <v>30</v>
      </c>
      <c r="AH4" s="12" t="s">
        <v>31</v>
      </c>
      <c r="AI4" s="12" t="s">
        <v>214</v>
      </c>
      <c r="AJ4" s="13" t="s">
        <v>274</v>
      </c>
      <c r="AK4" s="17" t="s">
        <v>35</v>
      </c>
      <c r="AL4" s="23"/>
      <c r="AM4" s="23"/>
      <c r="AN4" s="12"/>
      <c r="AO4" s="12"/>
      <c r="AP4" s="13"/>
      <c r="AQ4" s="23"/>
      <c r="AU4" s="4" t="s">
        <v>513</v>
      </c>
    </row>
    <row r="5" spans="2:47"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72"/>
      <c r="AA5" s="165"/>
      <c r="AB5" s="166"/>
      <c r="AC5" s="167"/>
      <c r="AD5" s="168"/>
      <c r="AE5" s="164"/>
      <c r="AF5" s="165"/>
      <c r="AG5" s="165"/>
      <c r="AH5" s="165"/>
      <c r="AI5" s="165"/>
      <c r="AJ5" s="166"/>
      <c r="AK5" s="167"/>
      <c r="AL5" s="168"/>
      <c r="AM5" s="173">
        <f>SUM(AN5:AO5)</f>
        <v>0</v>
      </c>
      <c r="AN5" s="180">
        <f>入力!I11</f>
        <v>0</v>
      </c>
      <c r="AO5" s="180">
        <f>入力!J11</f>
        <v>0</v>
      </c>
      <c r="AP5" s="166"/>
      <c r="AQ5" s="168"/>
    </row>
    <row r="6" spans="2:47" x14ac:dyDescent="0.25">
      <c r="B6" s="5">
        <v>19</v>
      </c>
      <c r="C6" s="3">
        <f>入力!$I$17</f>
        <v>22</v>
      </c>
      <c r="D6" s="34">
        <f>IF(C6&gt;入力!$D$22,0,VLOOKUP(C6,賃金カーブ!R:Z,4,0))</f>
        <v>83.083478776400653</v>
      </c>
      <c r="E6" s="3">
        <f>VLOOKUP(D6,年収と手取り!X:Y,2,1)</f>
        <v>75.067279999999997</v>
      </c>
      <c r="F6" s="151">
        <f>-IF(OR(AND(子1!C6&gt;=入力!$I$28,子1!C6&lt;=入力!$J$28),AND(子2!C6&gt;=入力!$I$28,子2!C6&lt;=入力!$J$28),AND(子3!C6&gt;=入力!$I$28,子3!C6&lt;=入力!$J$28),AND(子4!C6&gt;=入力!$I$28,子4!C6&lt;=入力!$J$28)),親2!E6*(1-入力!$K$28),
IF(OR(AND(子1!C6&gt;=入力!$I$29,子1!C6&lt;=入力!$J$29),AND(子2!C6&gt;=入力!$I$29,子2!C6&lt;=入力!$J$29),AND(子3!C6&gt;=入力!$I$29,子3!C6&lt;=入力!$J$29),AND(子4!C6&gt;=入力!$I$29,子4!C6&lt;=入力!$J$29)),親2!E6*(1-入力!$K$29),0))</f>
        <v>0</v>
      </c>
      <c r="G6" s="3">
        <f>IF(C6=入力!I$22,入力!J$31,0)</f>
        <v>0</v>
      </c>
      <c r="H6" s="3">
        <f t="shared" ref="H6:H44" si="0">IFERROR(IF(C6&gt;65,6.5+$E$71/COUNTIF($E$6:$E$70,"&gt;0")*1.8%,0)*12,0)</f>
        <v>0</v>
      </c>
      <c r="I6" s="14">
        <f>IF(H6&gt;0,-年金の税金!$G$25/10000,0)</f>
        <v>0</v>
      </c>
      <c r="J6" s="24">
        <f t="shared" ref="J6:J39" si="1">SUM(E6:I6)</f>
        <v>75.067279999999997</v>
      </c>
      <c r="K6" s="5"/>
      <c r="L6" s="3"/>
      <c r="M6" s="3">
        <f>M$1</f>
        <v>35.640000000000008</v>
      </c>
      <c r="N6" s="3">
        <f t="shared" ref="N6:Q25" si="2">N$1</f>
        <v>13.200000000000001</v>
      </c>
      <c r="O6" s="3">
        <f t="shared" si="2"/>
        <v>3.3000000000000003</v>
      </c>
      <c r="P6" s="3">
        <f t="shared" si="2"/>
        <v>2.6400000000000006</v>
      </c>
      <c r="Q6" s="3">
        <f t="shared" si="2"/>
        <v>1.6500000000000001</v>
      </c>
      <c r="R6" s="3">
        <f>IF(OR(AND(子1!C6&gt;=0,子1!C6&lt;=18),AND(子2!C6&gt;=0,子2!C6&lt;=18),AND(子3!C6&gt;=0,子3!C6&lt;=18),AND(子4!C6&gt;=0,子4!C6&lt;=18)),入力!$I$35,入力!$I$34)*12</f>
        <v>0</v>
      </c>
      <c r="S6" s="14"/>
      <c r="T6" s="18">
        <f t="shared" ref="T6:T37" si="3">SUM(K6:S6)</f>
        <v>56.430000000000007</v>
      </c>
      <c r="U6" s="24">
        <f t="shared" ref="U6:U37" si="4">J6-T6</f>
        <v>18.63727999999999</v>
      </c>
      <c r="V6" s="5"/>
      <c r="W6" s="3">
        <f t="shared" ref="W6:W69" si="5">W$1</f>
        <v>2.4000000000000004</v>
      </c>
      <c r="X6" s="3"/>
      <c r="Y6" s="3"/>
      <c r="Z6" s="3"/>
      <c r="AA6" s="3"/>
      <c r="AB6" s="14"/>
      <c r="AC6" s="18">
        <f t="shared" ref="AC6:AC37" si="6">SUM(V6:AB6)</f>
        <v>2.4000000000000004</v>
      </c>
      <c r="AD6" s="24">
        <f t="shared" ref="AD6:AD37" si="7">U6-AC6</f>
        <v>16.237279999999991</v>
      </c>
      <c r="AE6" s="5">
        <f>AE$1</f>
        <v>12</v>
      </c>
      <c r="AF6" s="3"/>
      <c r="AG6" s="3"/>
      <c r="AH6" s="3"/>
      <c r="AI6" s="3"/>
      <c r="AJ6" s="14"/>
      <c r="AK6" s="18">
        <f>SUM(AE6:AJ6)</f>
        <v>12</v>
      </c>
      <c r="AL6" s="24">
        <f t="shared" ref="AL6:AL69" si="8">AD6-AK6</f>
        <v>4.2372799999999913</v>
      </c>
      <c r="AM6" s="24">
        <f>AL6+AM5</f>
        <v>4.2372799999999913</v>
      </c>
      <c r="AQ6" s="24"/>
      <c r="AU6" s="1">
        <f>IF(D6,VLOOKUP(D6,年収と手取り!C:I,7,1),0)/9.1%</f>
        <v>0</v>
      </c>
    </row>
    <row r="7" spans="2:47" x14ac:dyDescent="0.25">
      <c r="B7" s="5">
        <f>B6+1</f>
        <v>20</v>
      </c>
      <c r="C7" s="3">
        <f>C6+1</f>
        <v>23</v>
      </c>
      <c r="D7" s="34">
        <f>IF(C7&gt;入力!$D$22,0,VLOOKUP(C7,賃金カーブ!R:Z,4,0))</f>
        <v>85.8652489758923</v>
      </c>
      <c r="E7" s="3">
        <f>VLOOKUP(D7,年収と手取り!X:Y,2,1)</f>
        <v>75.067279999999997</v>
      </c>
      <c r="F7" s="3">
        <f>-IF(OR(AND(子1!C7&gt;=入力!$I$28,子1!C7&lt;=入力!$J$28),AND(子2!C7&gt;=入力!$I$28,子2!C7&lt;=入力!$J$28),AND(子3!C7&gt;=入力!$I$28,子3!C7&lt;=入力!$J$28),AND(子4!C7&gt;=入力!$I$28,子4!C7&lt;=入力!$J$28)),親2!E7*(1-入力!$K$28),
IF(OR(AND(子1!C7&gt;=入力!$I$29,子1!C7&lt;=入力!$J$29),AND(子2!C7&gt;=入力!$I$29,子2!C7&lt;=入力!$J$29),AND(子3!C7&gt;=入力!$I$29,子3!C7&lt;=入力!$J$29),AND(子4!C7&gt;=入力!$I$29,子4!C7&lt;=入力!$J$29)),親2!E7*(1-入力!$K$29),0))</f>
        <v>0</v>
      </c>
      <c r="G7" s="3">
        <f>IF(C7=入力!I$22,入力!J$31,0)</f>
        <v>0</v>
      </c>
      <c r="H7" s="3">
        <f t="shared" si="0"/>
        <v>0</v>
      </c>
      <c r="I7" s="14">
        <f>IF(H7&gt;0,-年金の税金!$G$25/10000,0)</f>
        <v>0</v>
      </c>
      <c r="J7" s="24">
        <f t="shared" si="1"/>
        <v>75.067279999999997</v>
      </c>
      <c r="K7" s="5"/>
      <c r="L7" s="3"/>
      <c r="M7" s="3">
        <f t="shared" ref="M7:M22" si="9">M$1</f>
        <v>35.640000000000008</v>
      </c>
      <c r="N7" s="3">
        <f t="shared" si="2"/>
        <v>13.200000000000001</v>
      </c>
      <c r="O7" s="3">
        <f t="shared" si="2"/>
        <v>3.3000000000000003</v>
      </c>
      <c r="P7" s="3">
        <f t="shared" si="2"/>
        <v>2.6400000000000006</v>
      </c>
      <c r="Q7" s="3">
        <f t="shared" si="2"/>
        <v>1.6500000000000001</v>
      </c>
      <c r="R7" s="3">
        <f>IF(OR(AND(子1!C7&gt;=0,子1!C7&lt;=18),AND(子2!C7&gt;=0,子2!C7&lt;=18),AND(子3!C7&gt;=0,子3!C7&lt;=18),AND(子4!C7&gt;=0,子4!C7&lt;=18)),入力!$I$35,入力!$I$34)*12</f>
        <v>0</v>
      </c>
      <c r="S7" s="14"/>
      <c r="T7" s="18">
        <f t="shared" si="3"/>
        <v>56.430000000000007</v>
      </c>
      <c r="U7" s="24">
        <f t="shared" si="4"/>
        <v>18.63727999999999</v>
      </c>
      <c r="V7" s="5"/>
      <c r="W7" s="3">
        <f t="shared" si="5"/>
        <v>2.4000000000000004</v>
      </c>
      <c r="X7" s="3"/>
      <c r="Y7" s="3"/>
      <c r="Z7" s="3"/>
      <c r="AA7" s="3"/>
      <c r="AB7" s="14"/>
      <c r="AC7" s="18">
        <f t="shared" si="6"/>
        <v>2.4000000000000004</v>
      </c>
      <c r="AD7" s="24">
        <f t="shared" si="7"/>
        <v>16.237279999999991</v>
      </c>
      <c r="AE7" s="5">
        <f t="shared" ref="AE7:AE70" si="10">AE$1</f>
        <v>12</v>
      </c>
      <c r="AF7" s="3"/>
      <c r="AG7" s="3"/>
      <c r="AH7" s="3"/>
      <c r="AI7" s="3"/>
      <c r="AJ7" s="14"/>
      <c r="AK7" s="18">
        <f t="shared" ref="AK7:AK70" si="11">SUM(AE7:AJ7)</f>
        <v>12</v>
      </c>
      <c r="AL7" s="24">
        <f t="shared" si="8"/>
        <v>4.2372799999999913</v>
      </c>
      <c r="AM7" s="24">
        <f t="shared" ref="AM7:AM37" si="12">AL7+AM6</f>
        <v>8.4745599999999826</v>
      </c>
      <c r="AQ7" s="24"/>
      <c r="AU7" s="1">
        <f>IF(D7,VLOOKUP(D7,年収と手取り!C:I,7,1),0)/9.1%</f>
        <v>0</v>
      </c>
    </row>
    <row r="8" spans="2:47" x14ac:dyDescent="0.25">
      <c r="B8" s="5">
        <f t="shared" ref="B8:B39" si="13">B7+1</f>
        <v>21</v>
      </c>
      <c r="C8" s="3">
        <f t="shared" ref="C8:C70" si="14">C7+1</f>
        <v>24</v>
      </c>
      <c r="D8" s="34">
        <f>IF(C8&gt;入力!$D$22,0,VLOOKUP(C8,賃金カーブ!R:Z,4,0))</f>
        <v>88.740157372733691</v>
      </c>
      <c r="E8" s="3">
        <f>VLOOKUP(D8,年収と手取り!X:Y,2,1)</f>
        <v>75.067279999999997</v>
      </c>
      <c r="F8" s="3">
        <f>-IF(OR(AND(子1!C8&gt;=入力!$I$28,子1!C8&lt;=入力!$J$28),AND(子2!C8&gt;=入力!$I$28,子2!C8&lt;=入力!$J$28),AND(子3!C8&gt;=入力!$I$28,子3!C8&lt;=入力!$J$28),AND(子4!C8&gt;=入力!$I$28,子4!C8&lt;=入力!$J$28)),親2!E8*(1-入力!$K$28),
IF(OR(AND(子1!C8&gt;=入力!$I$29,子1!C8&lt;=入力!$J$29),AND(子2!C8&gt;=入力!$I$29,子2!C8&lt;=入力!$J$29),AND(子3!C8&gt;=入力!$I$29,子3!C8&lt;=入力!$J$29),AND(子4!C8&gt;=入力!$I$29,子4!C8&lt;=入力!$J$29)),親2!E8*(1-入力!$K$29),0))</f>
        <v>0</v>
      </c>
      <c r="G8" s="3">
        <f>IF(C8=入力!I$22,入力!J$31,0)</f>
        <v>0</v>
      </c>
      <c r="H8" s="3">
        <f t="shared" si="0"/>
        <v>0</v>
      </c>
      <c r="I8" s="14">
        <f>IF(H8&gt;0,-年金の税金!$G$25/10000,0)</f>
        <v>0</v>
      </c>
      <c r="J8" s="24">
        <f t="shared" si="1"/>
        <v>75.067279999999997</v>
      </c>
      <c r="K8" s="5"/>
      <c r="L8" s="3"/>
      <c r="M8" s="3">
        <f t="shared" si="9"/>
        <v>35.640000000000008</v>
      </c>
      <c r="N8" s="3">
        <f t="shared" si="2"/>
        <v>13.200000000000001</v>
      </c>
      <c r="O8" s="3">
        <f t="shared" si="2"/>
        <v>3.3000000000000003</v>
      </c>
      <c r="P8" s="3">
        <f t="shared" si="2"/>
        <v>2.6400000000000006</v>
      </c>
      <c r="Q8" s="3">
        <f t="shared" si="2"/>
        <v>1.6500000000000001</v>
      </c>
      <c r="R8" s="3">
        <f>IF(OR(AND(子1!C8&gt;=0,子1!C8&lt;=18),AND(子2!C8&gt;=0,子2!C8&lt;=18),AND(子3!C8&gt;=0,子3!C8&lt;=18),AND(子4!C8&gt;=0,子4!C8&lt;=18)),入力!$I$35,入力!$I$34)*12</f>
        <v>0</v>
      </c>
      <c r="S8" s="14"/>
      <c r="T8" s="18">
        <f t="shared" si="3"/>
        <v>56.430000000000007</v>
      </c>
      <c r="U8" s="24">
        <f t="shared" si="4"/>
        <v>18.63727999999999</v>
      </c>
      <c r="V8" s="5"/>
      <c r="W8" s="3">
        <f t="shared" si="5"/>
        <v>2.4000000000000004</v>
      </c>
      <c r="X8" s="3"/>
      <c r="Y8" s="3"/>
      <c r="Z8" s="3"/>
      <c r="AA8" s="3"/>
      <c r="AB8" s="14"/>
      <c r="AC8" s="18">
        <f t="shared" si="6"/>
        <v>2.4000000000000004</v>
      </c>
      <c r="AD8" s="24">
        <f t="shared" si="7"/>
        <v>16.237279999999991</v>
      </c>
      <c r="AE8" s="5">
        <f t="shared" si="10"/>
        <v>12</v>
      </c>
      <c r="AF8" s="3"/>
      <c r="AG8" s="3"/>
      <c r="AH8" s="3"/>
      <c r="AI8" s="3"/>
      <c r="AJ8" s="14"/>
      <c r="AK8" s="18">
        <f t="shared" si="11"/>
        <v>12</v>
      </c>
      <c r="AL8" s="24">
        <f t="shared" si="8"/>
        <v>4.2372799999999913</v>
      </c>
      <c r="AM8" s="24">
        <f t="shared" si="12"/>
        <v>12.711839999999974</v>
      </c>
      <c r="AQ8" s="24"/>
      <c r="AU8" s="1">
        <f>IF(D8,VLOOKUP(D8,年収と手取り!C:I,7,1),0)/9.1%</f>
        <v>0</v>
      </c>
    </row>
    <row r="9" spans="2:47" x14ac:dyDescent="0.25">
      <c r="B9" s="5">
        <f t="shared" si="13"/>
        <v>22</v>
      </c>
      <c r="C9" s="3">
        <f t="shared" si="14"/>
        <v>25</v>
      </c>
      <c r="D9" s="34">
        <f>IF(C9&gt;入力!$D$22,0,VLOOKUP(C9,賃金カーブ!R:Z,4,0))</f>
        <v>91.711322385479676</v>
      </c>
      <c r="E9" s="3">
        <f>VLOOKUP(D9,年収と手取り!X:Y,2,1)</f>
        <v>84.341880000000003</v>
      </c>
      <c r="F9" s="3">
        <f>-IF(OR(AND(子1!C9&gt;=入力!$I$28,子1!C9&lt;=入力!$J$28),AND(子2!C9&gt;=入力!$I$28,子2!C9&lt;=入力!$J$28),AND(子3!C9&gt;=入力!$I$28,子3!C9&lt;=入力!$J$28),AND(子4!C9&gt;=入力!$I$28,子4!C9&lt;=入力!$J$28)),親2!E9*(1-入力!$K$28),
IF(OR(AND(子1!C9&gt;=入力!$I$29,子1!C9&lt;=入力!$J$29),AND(子2!C9&gt;=入力!$I$29,子2!C9&lt;=入力!$J$29),AND(子3!C9&gt;=入力!$I$29,子3!C9&lt;=入力!$J$29),AND(子4!C9&gt;=入力!$I$29,子4!C9&lt;=入力!$J$29)),親2!E9*(1-入力!$K$29),0))</f>
        <v>0</v>
      </c>
      <c r="G9" s="3">
        <f>IF(C9=入力!I$22,入力!J$31,0)</f>
        <v>0</v>
      </c>
      <c r="H9" s="3">
        <f t="shared" si="0"/>
        <v>0</v>
      </c>
      <c r="I9" s="14">
        <f>IF(H9&gt;0,-年金の税金!$G$25/10000,0)</f>
        <v>0</v>
      </c>
      <c r="J9" s="24">
        <f t="shared" si="1"/>
        <v>84.341880000000003</v>
      </c>
      <c r="K9" s="5"/>
      <c r="L9" s="3"/>
      <c r="M9" s="3">
        <f t="shared" si="9"/>
        <v>35.640000000000008</v>
      </c>
      <c r="N9" s="3">
        <f t="shared" si="2"/>
        <v>13.200000000000001</v>
      </c>
      <c r="O9" s="3">
        <f t="shared" si="2"/>
        <v>3.3000000000000003</v>
      </c>
      <c r="P9" s="3">
        <f t="shared" si="2"/>
        <v>2.6400000000000006</v>
      </c>
      <c r="Q9" s="3">
        <f t="shared" si="2"/>
        <v>1.6500000000000001</v>
      </c>
      <c r="R9" s="3">
        <f>IF(OR(AND(子1!C9&gt;=0,子1!C9&lt;=18),AND(子2!C9&gt;=0,子2!C9&lt;=18),AND(子3!C9&gt;=0,子3!C9&lt;=18),AND(子4!C9&gt;=0,子4!C9&lt;=18)),入力!$I$35,入力!$I$34)*12</f>
        <v>0</v>
      </c>
      <c r="S9" s="14"/>
      <c r="T9" s="18">
        <f t="shared" si="3"/>
        <v>56.430000000000007</v>
      </c>
      <c r="U9" s="24">
        <f t="shared" si="4"/>
        <v>27.911879999999996</v>
      </c>
      <c r="V9" s="5"/>
      <c r="W9" s="3">
        <f t="shared" si="5"/>
        <v>2.4000000000000004</v>
      </c>
      <c r="X9" s="3"/>
      <c r="Y9" s="3"/>
      <c r="Z9" s="3"/>
      <c r="AA9" s="3"/>
      <c r="AB9" s="14"/>
      <c r="AC9" s="18">
        <f t="shared" si="6"/>
        <v>2.4000000000000004</v>
      </c>
      <c r="AD9" s="24">
        <f t="shared" si="7"/>
        <v>25.511879999999998</v>
      </c>
      <c r="AE9" s="5">
        <f t="shared" si="10"/>
        <v>12</v>
      </c>
      <c r="AF9" s="3"/>
      <c r="AG9" s="3"/>
      <c r="AH9" s="3"/>
      <c r="AI9" s="3"/>
      <c r="AJ9" s="14"/>
      <c r="AK9" s="18">
        <f t="shared" si="11"/>
        <v>12</v>
      </c>
      <c r="AL9" s="24">
        <f t="shared" si="8"/>
        <v>13.511879999999998</v>
      </c>
      <c r="AM9" s="24">
        <f t="shared" si="12"/>
        <v>26.223719999999972</v>
      </c>
      <c r="AQ9" s="24"/>
      <c r="AU9" s="1">
        <f>IF(D9,VLOOKUP(D9,年収と手取り!C:I,7,1),0)/9.1%</f>
        <v>0</v>
      </c>
    </row>
    <row r="10" spans="2:47" x14ac:dyDescent="0.25">
      <c r="B10" s="5">
        <f t="shared" si="13"/>
        <v>23</v>
      </c>
      <c r="C10" s="3">
        <f t="shared" si="14"/>
        <v>26</v>
      </c>
      <c r="D10" s="34">
        <f>IF(C10&gt;入力!$D$22,0,VLOOKUP(C10,賃金カーブ!R:Z,4,0))</f>
        <v>94.410297407203046</v>
      </c>
      <c r="E10" s="3">
        <f>VLOOKUP(D10,年収と手取り!X:Y,2,1)</f>
        <v>84.341880000000003</v>
      </c>
      <c r="F10" s="3">
        <f>-IF(OR(AND(子1!C10&gt;=入力!$I$28,子1!C10&lt;=入力!$J$28),AND(子2!C10&gt;=入力!$I$28,子2!C10&lt;=入力!$J$28),AND(子3!C10&gt;=入力!$I$28,子3!C10&lt;=入力!$J$28),AND(子4!C10&gt;=入力!$I$28,子4!C10&lt;=入力!$J$28)),親2!E10*(1-入力!$K$28),
IF(OR(AND(子1!C10&gt;=入力!$I$29,子1!C10&lt;=入力!$J$29),AND(子2!C10&gt;=入力!$I$29,子2!C10&lt;=入力!$J$29),AND(子3!C10&gt;=入力!$I$29,子3!C10&lt;=入力!$J$29),AND(子4!C10&gt;=入力!$I$29,子4!C10&lt;=入力!$J$29)),親2!E10*(1-入力!$K$29),0))</f>
        <v>-59.039315999999999</v>
      </c>
      <c r="G10" s="3">
        <f>IF(C10=入力!I$22,入力!J$31,0)</f>
        <v>0</v>
      </c>
      <c r="H10" s="3">
        <f t="shared" si="0"/>
        <v>0</v>
      </c>
      <c r="I10" s="14">
        <f>IF(H10&gt;0,-年金の税金!$G$25/10000,0)</f>
        <v>0</v>
      </c>
      <c r="J10" s="24">
        <f t="shared" si="1"/>
        <v>25.302564000000004</v>
      </c>
      <c r="K10" s="5"/>
      <c r="L10" s="3"/>
      <c r="M10" s="3">
        <f t="shared" si="9"/>
        <v>35.640000000000008</v>
      </c>
      <c r="N10" s="3">
        <f t="shared" si="2"/>
        <v>13.200000000000001</v>
      </c>
      <c r="O10" s="3">
        <f t="shared" si="2"/>
        <v>3.3000000000000003</v>
      </c>
      <c r="P10" s="3">
        <f t="shared" si="2"/>
        <v>2.6400000000000006</v>
      </c>
      <c r="Q10" s="3">
        <f t="shared" si="2"/>
        <v>1.6500000000000001</v>
      </c>
      <c r="R10" s="3">
        <f>IF(OR(AND(子1!C10&gt;=0,子1!C10&lt;=18),AND(子2!C10&gt;=0,子2!C10&lt;=18),AND(子3!C10&gt;=0,子3!C10&lt;=18),AND(子4!C10&gt;=0,子4!C10&lt;=18)),入力!$I$35,入力!$I$34)*12</f>
        <v>0</v>
      </c>
      <c r="S10" s="14"/>
      <c r="T10" s="18">
        <f t="shared" si="3"/>
        <v>56.430000000000007</v>
      </c>
      <c r="U10" s="24">
        <f t="shared" si="4"/>
        <v>-31.127436000000003</v>
      </c>
      <c r="V10" s="5"/>
      <c r="W10" s="3">
        <f t="shared" si="5"/>
        <v>2.4000000000000004</v>
      </c>
      <c r="X10" s="3"/>
      <c r="Y10" s="3"/>
      <c r="Z10" s="3"/>
      <c r="AA10" s="3"/>
      <c r="AB10" s="14"/>
      <c r="AC10" s="18">
        <f t="shared" si="6"/>
        <v>2.4000000000000004</v>
      </c>
      <c r="AD10" s="24">
        <f t="shared" si="7"/>
        <v>-33.527436000000002</v>
      </c>
      <c r="AE10" s="5">
        <f t="shared" si="10"/>
        <v>12</v>
      </c>
      <c r="AF10" s="3"/>
      <c r="AG10" s="3"/>
      <c r="AH10" s="3"/>
      <c r="AI10" s="3"/>
      <c r="AJ10" s="14"/>
      <c r="AK10" s="18">
        <f t="shared" si="11"/>
        <v>12</v>
      </c>
      <c r="AL10" s="24">
        <f t="shared" si="8"/>
        <v>-45.527436000000002</v>
      </c>
      <c r="AM10" s="24">
        <f t="shared" si="12"/>
        <v>-19.30371600000003</v>
      </c>
      <c r="AQ10" s="24"/>
      <c r="AU10" s="1">
        <f>IF(D10,VLOOKUP(D10,年収と手取り!C:I,7,1),0)/9.1%</f>
        <v>0</v>
      </c>
    </row>
    <row r="11" spans="2:47" x14ac:dyDescent="0.25">
      <c r="B11" s="5">
        <f t="shared" si="13"/>
        <v>24</v>
      </c>
      <c r="C11" s="3">
        <f t="shared" si="14"/>
        <v>27</v>
      </c>
      <c r="D11" s="34">
        <f>IF(C11&gt;入力!$D$22,0,VLOOKUP(C11,賃金カーブ!R:Z,4,0))</f>
        <v>97.188700638861818</v>
      </c>
      <c r="E11" s="3">
        <f>VLOOKUP(D11,年収と手取り!X:Y,2,1)</f>
        <v>84.341880000000003</v>
      </c>
      <c r="F11" s="3">
        <f>-IF(OR(AND(子1!C11&gt;=入力!$I$28,子1!C11&lt;=入力!$J$28),AND(子2!C11&gt;=入力!$I$28,子2!C11&lt;=入力!$J$28),AND(子3!C11&gt;=入力!$I$28,子3!C11&lt;=入力!$J$28),AND(子4!C11&gt;=入力!$I$28,子4!C11&lt;=入力!$J$28)),親2!E11*(1-入力!$K$28),
IF(OR(AND(子1!C11&gt;=入力!$I$29,子1!C11&lt;=入力!$J$29),AND(子2!C11&gt;=入力!$I$29,子2!C11&lt;=入力!$J$29),AND(子3!C11&gt;=入力!$I$29,子3!C11&lt;=入力!$J$29),AND(子4!C11&gt;=入力!$I$29,子4!C11&lt;=入力!$J$29)),親2!E11*(1-入力!$K$29),0))</f>
        <v>-33.736752000000003</v>
      </c>
      <c r="G11" s="3">
        <f>IF(C11=入力!I$22,入力!J$31,0)</f>
        <v>0</v>
      </c>
      <c r="H11" s="3">
        <f t="shared" si="0"/>
        <v>0</v>
      </c>
      <c r="I11" s="14">
        <f>IF(H11&gt;0,-年金の税金!$G$25/10000,0)</f>
        <v>0</v>
      </c>
      <c r="J11" s="24">
        <f t="shared" si="1"/>
        <v>50.605128000000001</v>
      </c>
      <c r="K11" s="5"/>
      <c r="L11" s="3"/>
      <c r="M11" s="3">
        <f t="shared" si="9"/>
        <v>35.640000000000008</v>
      </c>
      <c r="N11" s="3">
        <f t="shared" si="2"/>
        <v>13.200000000000001</v>
      </c>
      <c r="O11" s="3">
        <f t="shared" si="2"/>
        <v>3.3000000000000003</v>
      </c>
      <c r="P11" s="3">
        <f t="shared" si="2"/>
        <v>2.6400000000000006</v>
      </c>
      <c r="Q11" s="3">
        <f t="shared" si="2"/>
        <v>1.6500000000000001</v>
      </c>
      <c r="R11" s="3">
        <f>IF(OR(AND(子1!C11&gt;=0,子1!C11&lt;=18),AND(子2!C11&gt;=0,子2!C11&lt;=18),AND(子3!C11&gt;=0,子3!C11&lt;=18),AND(子4!C11&gt;=0,子4!C11&lt;=18)),入力!$I$35,入力!$I$34)*12</f>
        <v>0</v>
      </c>
      <c r="S11" s="14"/>
      <c r="T11" s="18">
        <f t="shared" si="3"/>
        <v>56.430000000000007</v>
      </c>
      <c r="U11" s="24">
        <f t="shared" si="4"/>
        <v>-5.8248720000000063</v>
      </c>
      <c r="V11" s="5"/>
      <c r="W11" s="3">
        <f t="shared" si="5"/>
        <v>2.4000000000000004</v>
      </c>
      <c r="X11" s="3"/>
      <c r="Y11" s="3"/>
      <c r="Z11" s="3"/>
      <c r="AA11" s="3"/>
      <c r="AB11" s="14"/>
      <c r="AC11" s="18">
        <f t="shared" si="6"/>
        <v>2.4000000000000004</v>
      </c>
      <c r="AD11" s="24">
        <f t="shared" si="7"/>
        <v>-8.2248720000000066</v>
      </c>
      <c r="AE11" s="5">
        <f t="shared" si="10"/>
        <v>12</v>
      </c>
      <c r="AF11" s="3"/>
      <c r="AG11" s="3"/>
      <c r="AH11" s="3"/>
      <c r="AI11" s="3"/>
      <c r="AJ11" s="14"/>
      <c r="AK11" s="18">
        <f t="shared" si="11"/>
        <v>12</v>
      </c>
      <c r="AL11" s="24">
        <f t="shared" si="8"/>
        <v>-20.224872000000005</v>
      </c>
      <c r="AM11" s="24">
        <f t="shared" si="12"/>
        <v>-39.528588000000035</v>
      </c>
      <c r="AQ11" s="24"/>
      <c r="AU11" s="1">
        <f>IF(D11,VLOOKUP(D11,年収と手取り!C:I,7,1),0)/9.1%</f>
        <v>0</v>
      </c>
    </row>
    <row r="12" spans="2:47" x14ac:dyDescent="0.25">
      <c r="B12" s="5">
        <f t="shared" si="13"/>
        <v>25</v>
      </c>
      <c r="C12" s="3">
        <f t="shared" si="14"/>
        <v>28</v>
      </c>
      <c r="D12" s="34">
        <f>IF(C12&gt;入力!$D$22,0,VLOOKUP(C12,賃金カーブ!R:Z,4,0))</f>
        <v>100.04886957542453</v>
      </c>
      <c r="E12" s="3">
        <f>VLOOKUP(D12,年収と手取り!X:Y,2,1)</f>
        <v>83.954080000000005</v>
      </c>
      <c r="F12" s="3">
        <f>-IF(OR(AND(子1!C12&gt;=入力!$I$28,子1!C12&lt;=入力!$J$28),AND(子2!C12&gt;=入力!$I$28,子2!C12&lt;=入力!$J$28),AND(子3!C12&gt;=入力!$I$28,子3!C12&lt;=入力!$J$28),AND(子4!C12&gt;=入力!$I$28,子4!C12&lt;=入力!$J$28)),親2!E12*(1-入力!$K$28),
IF(OR(AND(子1!C12&gt;=入力!$I$29,子1!C12&lt;=入力!$J$29),AND(子2!C12&gt;=入力!$I$29,子2!C12&lt;=入力!$J$29),AND(子3!C12&gt;=入力!$I$29,子3!C12&lt;=入力!$J$29),AND(子4!C12&gt;=入力!$I$29,子4!C12&lt;=入力!$J$29)),親2!E12*(1-入力!$K$29),0))</f>
        <v>-33.581632000000006</v>
      </c>
      <c r="G12" s="3">
        <f>IF(C12=入力!I$22,入力!J$31,0)</f>
        <v>0</v>
      </c>
      <c r="H12" s="3">
        <f t="shared" si="0"/>
        <v>0</v>
      </c>
      <c r="I12" s="14">
        <f>IF(H12&gt;0,-年金の税金!$G$25/10000,0)</f>
        <v>0</v>
      </c>
      <c r="J12" s="24">
        <f t="shared" si="1"/>
        <v>50.372447999999999</v>
      </c>
      <c r="K12" s="5"/>
      <c r="L12" s="3"/>
      <c r="M12" s="3">
        <f t="shared" si="9"/>
        <v>35.640000000000008</v>
      </c>
      <c r="N12" s="3">
        <f t="shared" si="2"/>
        <v>13.200000000000001</v>
      </c>
      <c r="O12" s="3">
        <f t="shared" si="2"/>
        <v>3.3000000000000003</v>
      </c>
      <c r="P12" s="3">
        <f t="shared" si="2"/>
        <v>2.6400000000000006</v>
      </c>
      <c r="Q12" s="3">
        <f t="shared" si="2"/>
        <v>1.6500000000000001</v>
      </c>
      <c r="R12" s="3">
        <f>IF(OR(AND(子1!C12&gt;=0,子1!C12&lt;=18),AND(子2!C12&gt;=0,子2!C12&lt;=18),AND(子3!C12&gt;=0,子3!C12&lt;=18),AND(子4!C12&gt;=0,子4!C12&lt;=18)),入力!$I$35,入力!$I$34)*12</f>
        <v>0</v>
      </c>
      <c r="S12" s="14"/>
      <c r="T12" s="18">
        <f t="shared" si="3"/>
        <v>56.430000000000007</v>
      </c>
      <c r="U12" s="24">
        <f t="shared" si="4"/>
        <v>-6.0575520000000083</v>
      </c>
      <c r="V12" s="5"/>
      <c r="W12" s="3">
        <f t="shared" si="5"/>
        <v>2.4000000000000004</v>
      </c>
      <c r="X12" s="3"/>
      <c r="Y12" s="3"/>
      <c r="Z12" s="3"/>
      <c r="AA12" s="3"/>
      <c r="AB12" s="14"/>
      <c r="AC12" s="18">
        <f t="shared" si="6"/>
        <v>2.4000000000000004</v>
      </c>
      <c r="AD12" s="24">
        <f t="shared" si="7"/>
        <v>-8.4575520000000086</v>
      </c>
      <c r="AE12" s="5">
        <f t="shared" si="10"/>
        <v>12</v>
      </c>
      <c r="AF12" s="3"/>
      <c r="AG12" s="3"/>
      <c r="AH12" s="3"/>
      <c r="AI12" s="3"/>
      <c r="AJ12" s="14"/>
      <c r="AK12" s="18">
        <f t="shared" si="11"/>
        <v>12</v>
      </c>
      <c r="AL12" s="24">
        <f t="shared" si="8"/>
        <v>-20.457552000000007</v>
      </c>
      <c r="AM12" s="24">
        <f t="shared" si="12"/>
        <v>-59.986140000000042</v>
      </c>
      <c r="AQ12" s="24"/>
      <c r="AU12" s="1">
        <f>IF(D12,VLOOKUP(D12,年収と手取り!C:I,7,1),0)/9.1%</f>
        <v>106.18021978021979</v>
      </c>
    </row>
    <row r="13" spans="2:47" x14ac:dyDescent="0.25">
      <c r="B13" s="5">
        <f t="shared" si="13"/>
        <v>26</v>
      </c>
      <c r="C13" s="3">
        <f t="shared" si="14"/>
        <v>29</v>
      </c>
      <c r="D13" s="34">
        <f>IF(C13&gt;入力!$D$22,0,VLOOKUP(C13,賃金カーブ!R:Z,4,0))</f>
        <v>102.99321050206329</v>
      </c>
      <c r="E13" s="3">
        <f>VLOOKUP(D13,年収と手取り!X:Y,2,1)</f>
        <v>83.954080000000005</v>
      </c>
      <c r="F13" s="3">
        <f>-IF(OR(AND(子1!C13&gt;=入力!$I$28,子1!C13&lt;=入力!$J$28),AND(子2!C13&gt;=入力!$I$28,子2!C13&lt;=入力!$J$28),AND(子3!C13&gt;=入力!$I$28,子3!C13&lt;=入力!$J$28),AND(子4!C13&gt;=入力!$I$28,子4!C13&lt;=入力!$J$28)),親2!E13*(1-入力!$K$28),
IF(OR(AND(子1!C13&gt;=入力!$I$29,子1!C13&lt;=入力!$J$29),AND(子2!C13&gt;=入力!$I$29,子2!C13&lt;=入力!$J$29),AND(子3!C13&gt;=入力!$I$29,子3!C13&lt;=入力!$J$29),AND(子4!C13&gt;=入力!$I$29,子4!C13&lt;=入力!$J$29)),親2!E13*(1-入力!$K$29),0))</f>
        <v>-58.767856000000002</v>
      </c>
      <c r="G13" s="3">
        <f>IF(C13=入力!I$22,入力!J$31,0)</f>
        <v>0</v>
      </c>
      <c r="H13" s="3">
        <f t="shared" si="0"/>
        <v>0</v>
      </c>
      <c r="I13" s="14">
        <f>IF(H13&gt;0,-年金の税金!$G$25/10000,0)</f>
        <v>0</v>
      </c>
      <c r="J13" s="24">
        <f t="shared" si="1"/>
        <v>25.186224000000003</v>
      </c>
      <c r="K13" s="5"/>
      <c r="L13" s="3"/>
      <c r="M13" s="3">
        <f t="shared" si="9"/>
        <v>35.640000000000008</v>
      </c>
      <c r="N13" s="3">
        <f t="shared" si="2"/>
        <v>13.200000000000001</v>
      </c>
      <c r="O13" s="3">
        <f t="shared" si="2"/>
        <v>3.3000000000000003</v>
      </c>
      <c r="P13" s="3">
        <f t="shared" si="2"/>
        <v>2.6400000000000006</v>
      </c>
      <c r="Q13" s="3">
        <f t="shared" si="2"/>
        <v>1.6500000000000001</v>
      </c>
      <c r="R13" s="3">
        <f>IF(OR(AND(子1!C13&gt;=0,子1!C13&lt;=18),AND(子2!C13&gt;=0,子2!C13&lt;=18),AND(子3!C13&gt;=0,子3!C13&lt;=18),AND(子4!C13&gt;=0,子4!C13&lt;=18)),入力!$I$35,入力!$I$34)*12</f>
        <v>0</v>
      </c>
      <c r="S13" s="14"/>
      <c r="T13" s="18">
        <f t="shared" si="3"/>
        <v>56.430000000000007</v>
      </c>
      <c r="U13" s="24">
        <f t="shared" si="4"/>
        <v>-31.243776000000004</v>
      </c>
      <c r="V13" s="5"/>
      <c r="W13" s="3">
        <f t="shared" si="5"/>
        <v>2.4000000000000004</v>
      </c>
      <c r="X13" s="3"/>
      <c r="Y13" s="3"/>
      <c r="Z13" s="3"/>
      <c r="AA13" s="3"/>
      <c r="AB13" s="14"/>
      <c r="AC13" s="18">
        <f t="shared" si="6"/>
        <v>2.4000000000000004</v>
      </c>
      <c r="AD13" s="24">
        <f t="shared" si="7"/>
        <v>-33.643776000000003</v>
      </c>
      <c r="AE13" s="5">
        <f t="shared" si="10"/>
        <v>12</v>
      </c>
      <c r="AF13" s="3"/>
      <c r="AG13" s="3"/>
      <c r="AH13" s="3"/>
      <c r="AI13" s="3"/>
      <c r="AJ13" s="14"/>
      <c r="AK13" s="18">
        <f t="shared" si="11"/>
        <v>12</v>
      </c>
      <c r="AL13" s="24">
        <f t="shared" si="8"/>
        <v>-45.643776000000003</v>
      </c>
      <c r="AM13" s="24">
        <f t="shared" si="12"/>
        <v>-105.62991600000004</v>
      </c>
      <c r="AQ13" s="24"/>
      <c r="AU13" s="1">
        <f>IF(D13,VLOOKUP(D13,年収と手取り!C:I,7,1),0)/9.1%</f>
        <v>106.18021978021979</v>
      </c>
    </row>
    <row r="14" spans="2:47" x14ac:dyDescent="0.25">
      <c r="B14" s="5">
        <f t="shared" si="13"/>
        <v>27</v>
      </c>
      <c r="C14" s="3">
        <f t="shared" si="14"/>
        <v>30</v>
      </c>
      <c r="D14" s="34">
        <f>IF(C14&gt;入力!$D$22,0,VLOOKUP(C14,賃金カーブ!R:Z,4,0))</f>
        <v>106.02420051858252</v>
      </c>
      <c r="E14" s="3">
        <f>VLOOKUP(D14,年収と手取り!X:Y,2,1)</f>
        <v>83.954080000000005</v>
      </c>
      <c r="F14" s="3">
        <f>-IF(OR(AND(子1!C14&gt;=入力!$I$28,子1!C14&lt;=入力!$J$28),AND(子2!C14&gt;=入力!$I$28,子2!C14&lt;=入力!$J$28),AND(子3!C14&gt;=入力!$I$28,子3!C14&lt;=入力!$J$28),AND(子4!C14&gt;=入力!$I$28,子4!C14&lt;=入力!$J$28)),親2!E14*(1-入力!$K$28),
IF(OR(AND(子1!C14&gt;=入力!$I$29,子1!C14&lt;=入力!$J$29),AND(子2!C14&gt;=入力!$I$29,子2!C14&lt;=入力!$J$29),AND(子3!C14&gt;=入力!$I$29,子3!C14&lt;=入力!$J$29),AND(子4!C14&gt;=入力!$I$29,子4!C14&lt;=入力!$J$29)),親2!E14*(1-入力!$K$29),0))</f>
        <v>-33.581632000000006</v>
      </c>
      <c r="G14" s="3">
        <f>IF(C14=入力!I$22,入力!J$31,0)</f>
        <v>0</v>
      </c>
      <c r="H14" s="3">
        <f t="shared" si="0"/>
        <v>0</v>
      </c>
      <c r="I14" s="14">
        <f>IF(H14&gt;0,-年金の税金!$G$25/10000,0)</f>
        <v>0</v>
      </c>
      <c r="J14" s="24">
        <f t="shared" si="1"/>
        <v>50.372447999999999</v>
      </c>
      <c r="K14" s="5"/>
      <c r="L14" s="3"/>
      <c r="M14" s="3">
        <f t="shared" si="9"/>
        <v>35.640000000000008</v>
      </c>
      <c r="N14" s="3">
        <f t="shared" si="2"/>
        <v>13.200000000000001</v>
      </c>
      <c r="O14" s="3">
        <f t="shared" si="2"/>
        <v>3.3000000000000003</v>
      </c>
      <c r="P14" s="3">
        <f t="shared" si="2"/>
        <v>2.6400000000000006</v>
      </c>
      <c r="Q14" s="3">
        <f t="shared" si="2"/>
        <v>1.6500000000000001</v>
      </c>
      <c r="R14" s="3">
        <f>IF(OR(AND(子1!C14&gt;=0,子1!C14&lt;=18),AND(子2!C14&gt;=0,子2!C14&lt;=18),AND(子3!C14&gt;=0,子3!C14&lt;=18),AND(子4!C14&gt;=0,子4!C14&lt;=18)),入力!$I$35,入力!$I$34)*12</f>
        <v>0</v>
      </c>
      <c r="S14" s="14"/>
      <c r="T14" s="18">
        <f t="shared" si="3"/>
        <v>56.430000000000007</v>
      </c>
      <c r="U14" s="24">
        <f t="shared" si="4"/>
        <v>-6.0575520000000083</v>
      </c>
      <c r="V14" s="5"/>
      <c r="W14" s="3">
        <f t="shared" si="5"/>
        <v>2.4000000000000004</v>
      </c>
      <c r="X14" s="3"/>
      <c r="Y14" s="3"/>
      <c r="Z14" s="3"/>
      <c r="AA14" s="3"/>
      <c r="AB14" s="14"/>
      <c r="AC14" s="18">
        <f t="shared" si="6"/>
        <v>2.4000000000000004</v>
      </c>
      <c r="AD14" s="24">
        <f t="shared" si="7"/>
        <v>-8.4575520000000086</v>
      </c>
      <c r="AE14" s="5">
        <f t="shared" si="10"/>
        <v>12</v>
      </c>
      <c r="AF14" s="3"/>
      <c r="AG14" s="3"/>
      <c r="AH14" s="3"/>
      <c r="AI14" s="3"/>
      <c r="AJ14" s="14"/>
      <c r="AK14" s="18">
        <f t="shared" si="11"/>
        <v>12</v>
      </c>
      <c r="AL14" s="24">
        <f t="shared" si="8"/>
        <v>-20.457552000000007</v>
      </c>
      <c r="AM14" s="24">
        <f t="shared" si="12"/>
        <v>-126.08746800000004</v>
      </c>
      <c r="AQ14" s="24"/>
      <c r="AU14" s="1">
        <f>IF(D14,VLOOKUP(D14,年収と手取り!C:I,7,1),0)/9.1%</f>
        <v>106.18021978021979</v>
      </c>
    </row>
    <row r="15" spans="2:47" x14ac:dyDescent="0.25">
      <c r="B15" s="5">
        <f t="shared" si="13"/>
        <v>28</v>
      </c>
      <c r="C15" s="3">
        <f t="shared" si="14"/>
        <v>31</v>
      </c>
      <c r="D15" s="34">
        <f>IF(C15&gt;入力!$D$22,0,VLOOKUP(C15,賃金カーブ!R:Z,4,0))</f>
        <v>108.63094539100834</v>
      </c>
      <c r="E15" s="3">
        <f>VLOOKUP(D15,年収と手取り!X:Y,2,1)</f>
        <v>83.954080000000005</v>
      </c>
      <c r="F15" s="3">
        <f>-IF(OR(AND(子1!C15&gt;=入力!$I$28,子1!C15&lt;=入力!$J$28),AND(子2!C15&gt;=入力!$I$28,子2!C15&lt;=入力!$J$28),AND(子3!C15&gt;=入力!$I$28,子3!C15&lt;=入力!$J$28),AND(子4!C15&gt;=入力!$I$28,子4!C15&lt;=入力!$J$28)),親2!E15*(1-入力!$K$28),
IF(OR(AND(子1!C15&gt;=入力!$I$29,子1!C15&lt;=入力!$J$29),AND(子2!C15&gt;=入力!$I$29,子2!C15&lt;=入力!$J$29),AND(子3!C15&gt;=入力!$I$29,子3!C15&lt;=入力!$J$29),AND(子4!C15&gt;=入力!$I$29,子4!C15&lt;=入力!$J$29)),親2!E15*(1-入力!$K$29),0))</f>
        <v>-33.581632000000006</v>
      </c>
      <c r="G15" s="3">
        <f>IF(C15=入力!I$22,入力!J$31,0)</f>
        <v>0</v>
      </c>
      <c r="H15" s="3">
        <f t="shared" si="0"/>
        <v>0</v>
      </c>
      <c r="I15" s="14">
        <f>IF(H15&gt;0,-年金の税金!$G$25/10000,0)</f>
        <v>0</v>
      </c>
      <c r="J15" s="24">
        <f t="shared" si="1"/>
        <v>50.372447999999999</v>
      </c>
      <c r="K15" s="5"/>
      <c r="L15" s="3"/>
      <c r="M15" s="3">
        <f t="shared" si="9"/>
        <v>35.640000000000008</v>
      </c>
      <c r="N15" s="3">
        <f t="shared" si="2"/>
        <v>13.200000000000001</v>
      </c>
      <c r="O15" s="3">
        <f t="shared" si="2"/>
        <v>3.3000000000000003</v>
      </c>
      <c r="P15" s="3">
        <f t="shared" si="2"/>
        <v>2.6400000000000006</v>
      </c>
      <c r="Q15" s="3">
        <f t="shared" si="2"/>
        <v>1.6500000000000001</v>
      </c>
      <c r="R15" s="3">
        <f>IF(OR(AND(子1!C15&gt;=0,子1!C15&lt;=18),AND(子2!C15&gt;=0,子2!C15&lt;=18),AND(子3!C15&gt;=0,子3!C15&lt;=18),AND(子4!C15&gt;=0,子4!C15&lt;=18)),入力!$I$35,入力!$I$34)*12</f>
        <v>0</v>
      </c>
      <c r="S15" s="14"/>
      <c r="T15" s="18">
        <f t="shared" si="3"/>
        <v>56.430000000000007</v>
      </c>
      <c r="U15" s="24">
        <f t="shared" si="4"/>
        <v>-6.0575520000000083</v>
      </c>
      <c r="V15" s="5"/>
      <c r="W15" s="3">
        <f t="shared" si="5"/>
        <v>2.4000000000000004</v>
      </c>
      <c r="X15" s="3"/>
      <c r="Y15" s="3"/>
      <c r="Z15" s="3"/>
      <c r="AA15" s="3"/>
      <c r="AB15" s="14"/>
      <c r="AC15" s="18">
        <f t="shared" si="6"/>
        <v>2.4000000000000004</v>
      </c>
      <c r="AD15" s="24">
        <f t="shared" si="7"/>
        <v>-8.4575520000000086</v>
      </c>
      <c r="AE15" s="5">
        <f t="shared" si="10"/>
        <v>12</v>
      </c>
      <c r="AF15" s="3"/>
      <c r="AG15" s="3"/>
      <c r="AH15" s="3"/>
      <c r="AI15" s="3"/>
      <c r="AJ15" s="14"/>
      <c r="AK15" s="18">
        <f t="shared" si="11"/>
        <v>12</v>
      </c>
      <c r="AL15" s="24">
        <f t="shared" si="8"/>
        <v>-20.457552000000007</v>
      </c>
      <c r="AM15" s="24">
        <f t="shared" si="12"/>
        <v>-146.54502000000005</v>
      </c>
      <c r="AQ15" s="24"/>
      <c r="AU15" s="1">
        <f>IF(D15,VLOOKUP(D15,年収と手取り!C:I,7,1),0)/9.1%</f>
        <v>106.18021978021979</v>
      </c>
    </row>
    <row r="16" spans="2:47" x14ac:dyDescent="0.25">
      <c r="B16" s="5">
        <f t="shared" si="13"/>
        <v>29</v>
      </c>
      <c r="C16" s="3">
        <f t="shared" si="14"/>
        <v>32</v>
      </c>
      <c r="D16" s="34">
        <f>IF(C16&gt;入力!$D$22,0,VLOOKUP(C16,賃金カーブ!R:Z,4,0))</f>
        <v>111.30178052581464</v>
      </c>
      <c r="E16" s="3">
        <f>VLOOKUP(D16,年収と手取り!X:Y,2,1)</f>
        <v>93.954080000000005</v>
      </c>
      <c r="F16" s="3">
        <f>-IF(OR(AND(子1!C16&gt;=入力!$I$28,子1!C16&lt;=入力!$J$28),AND(子2!C16&gt;=入力!$I$28,子2!C16&lt;=入力!$J$28),AND(子3!C16&gt;=入力!$I$28,子3!C16&lt;=入力!$J$28),AND(子4!C16&gt;=入力!$I$28,子4!C16&lt;=入力!$J$28)),親2!E16*(1-入力!$K$28),
IF(OR(AND(子1!C16&gt;=入力!$I$29,子1!C16&lt;=入力!$J$29),AND(子2!C16&gt;=入力!$I$29,子2!C16&lt;=入力!$J$29),AND(子3!C16&gt;=入力!$I$29,子3!C16&lt;=入力!$J$29),AND(子4!C16&gt;=入力!$I$29,子4!C16&lt;=入力!$J$29)),親2!E16*(1-入力!$K$29),0))</f>
        <v>-37.581632000000006</v>
      </c>
      <c r="G16" s="3">
        <f>IF(C16=入力!I$22,入力!J$31,0)</f>
        <v>0</v>
      </c>
      <c r="H16" s="3">
        <f t="shared" si="0"/>
        <v>0</v>
      </c>
      <c r="I16" s="14">
        <f>IF(H16&gt;0,-年金の税金!$G$25/10000,0)</f>
        <v>0</v>
      </c>
      <c r="J16" s="24">
        <f t="shared" si="1"/>
        <v>56.372447999999999</v>
      </c>
      <c r="K16" s="5"/>
      <c r="L16" s="3"/>
      <c r="M16" s="3">
        <f t="shared" si="9"/>
        <v>35.640000000000008</v>
      </c>
      <c r="N16" s="3">
        <f t="shared" si="2"/>
        <v>13.200000000000001</v>
      </c>
      <c r="O16" s="3">
        <f t="shared" si="2"/>
        <v>3.3000000000000003</v>
      </c>
      <c r="P16" s="3">
        <f t="shared" si="2"/>
        <v>2.6400000000000006</v>
      </c>
      <c r="Q16" s="3">
        <f t="shared" si="2"/>
        <v>1.6500000000000001</v>
      </c>
      <c r="R16" s="3">
        <f>IF(OR(AND(子1!C16&gt;=0,子1!C16&lt;=18),AND(子2!C16&gt;=0,子2!C16&lt;=18),AND(子3!C16&gt;=0,子3!C16&lt;=18),AND(子4!C16&gt;=0,子4!C16&lt;=18)),入力!$I$35,入力!$I$34)*12</f>
        <v>0</v>
      </c>
      <c r="S16" s="14"/>
      <c r="T16" s="18">
        <f t="shared" si="3"/>
        <v>56.430000000000007</v>
      </c>
      <c r="U16" s="24">
        <f t="shared" si="4"/>
        <v>-5.7552000000008263E-2</v>
      </c>
      <c r="V16" s="5"/>
      <c r="W16" s="3">
        <f t="shared" si="5"/>
        <v>2.4000000000000004</v>
      </c>
      <c r="X16" s="3"/>
      <c r="Y16" s="3"/>
      <c r="Z16" s="3"/>
      <c r="AA16" s="3"/>
      <c r="AB16" s="14"/>
      <c r="AC16" s="18">
        <f t="shared" si="6"/>
        <v>2.4000000000000004</v>
      </c>
      <c r="AD16" s="24">
        <f t="shared" si="7"/>
        <v>-2.4575520000000086</v>
      </c>
      <c r="AE16" s="5">
        <f t="shared" si="10"/>
        <v>12</v>
      </c>
      <c r="AF16" s="3"/>
      <c r="AG16" s="3"/>
      <c r="AH16" s="3"/>
      <c r="AI16" s="3"/>
      <c r="AJ16" s="14"/>
      <c r="AK16" s="18">
        <f t="shared" si="11"/>
        <v>12</v>
      </c>
      <c r="AL16" s="24">
        <f t="shared" si="8"/>
        <v>-14.457552000000009</v>
      </c>
      <c r="AM16" s="24">
        <f t="shared" si="12"/>
        <v>-161.00257200000007</v>
      </c>
      <c r="AQ16" s="24"/>
      <c r="AU16" s="1">
        <f>IF(D16,VLOOKUP(D16,年収と手取り!C:I,7,1),0)/9.1%</f>
        <v>106.18021978021979</v>
      </c>
    </row>
    <row r="17" spans="2:47" x14ac:dyDescent="0.25">
      <c r="B17" s="5">
        <f t="shared" si="13"/>
        <v>30</v>
      </c>
      <c r="C17" s="3">
        <f t="shared" si="14"/>
        <v>33</v>
      </c>
      <c r="D17" s="34">
        <f>IF(C17&gt;入力!$D$22,0,VLOOKUP(C17,賃金カーブ!R:Z,4,0))</f>
        <v>114.03828166667144</v>
      </c>
      <c r="E17" s="3">
        <f>VLOOKUP(D17,年収と手取り!X:Y,2,1)</f>
        <v>93.954080000000005</v>
      </c>
      <c r="F17" s="3">
        <f>-IF(OR(AND(子1!C17&gt;=入力!$I$28,子1!C17&lt;=入力!$J$28),AND(子2!C17&gt;=入力!$I$28,子2!C17&lt;=入力!$J$28),AND(子3!C17&gt;=入力!$I$28,子3!C17&lt;=入力!$J$28),AND(子4!C17&gt;=入力!$I$28,子4!C17&lt;=入力!$J$28)),親2!E17*(1-入力!$K$28),
IF(OR(AND(子1!C17&gt;=入力!$I$29,子1!C17&lt;=入力!$J$29),AND(子2!C17&gt;=入力!$I$29,子2!C17&lt;=入力!$J$29),AND(子3!C17&gt;=入力!$I$29,子3!C17&lt;=入力!$J$29),AND(子4!C17&gt;=入力!$I$29,子4!C17&lt;=入力!$J$29)),親2!E17*(1-入力!$K$29),0))</f>
        <v>-37.581632000000006</v>
      </c>
      <c r="G17" s="3">
        <f>IF(C17=入力!I$22,入力!J$31,0)</f>
        <v>0</v>
      </c>
      <c r="H17" s="3">
        <f t="shared" si="0"/>
        <v>0</v>
      </c>
      <c r="I17" s="14">
        <f>IF(H17&gt;0,-年金の税金!$G$25/10000,0)</f>
        <v>0</v>
      </c>
      <c r="J17" s="24">
        <f t="shared" si="1"/>
        <v>56.372447999999999</v>
      </c>
      <c r="K17" s="5"/>
      <c r="L17" s="3"/>
      <c r="M17" s="3">
        <f t="shared" si="9"/>
        <v>35.640000000000008</v>
      </c>
      <c r="N17" s="3">
        <f t="shared" si="2"/>
        <v>13.200000000000001</v>
      </c>
      <c r="O17" s="3">
        <f t="shared" si="2"/>
        <v>3.3000000000000003</v>
      </c>
      <c r="P17" s="3">
        <f t="shared" si="2"/>
        <v>2.6400000000000006</v>
      </c>
      <c r="Q17" s="3">
        <f t="shared" si="2"/>
        <v>1.6500000000000001</v>
      </c>
      <c r="R17" s="3">
        <f>IF(OR(AND(子1!C17&gt;=0,子1!C17&lt;=18),AND(子2!C17&gt;=0,子2!C17&lt;=18),AND(子3!C17&gt;=0,子3!C17&lt;=18),AND(子4!C17&gt;=0,子4!C17&lt;=18)),入力!$I$35,入力!$I$34)*12</f>
        <v>0</v>
      </c>
      <c r="S17" s="14"/>
      <c r="T17" s="18">
        <f t="shared" si="3"/>
        <v>56.430000000000007</v>
      </c>
      <c r="U17" s="24">
        <f t="shared" si="4"/>
        <v>-5.7552000000008263E-2</v>
      </c>
      <c r="V17" s="5"/>
      <c r="W17" s="3">
        <f t="shared" si="5"/>
        <v>2.4000000000000004</v>
      </c>
      <c r="X17" s="3"/>
      <c r="Y17" s="3"/>
      <c r="Z17" s="3"/>
      <c r="AA17" s="3"/>
      <c r="AB17" s="14"/>
      <c r="AC17" s="18">
        <f t="shared" si="6"/>
        <v>2.4000000000000004</v>
      </c>
      <c r="AD17" s="24">
        <f t="shared" si="7"/>
        <v>-2.4575520000000086</v>
      </c>
      <c r="AE17" s="5">
        <f t="shared" si="10"/>
        <v>12</v>
      </c>
      <c r="AF17" s="3"/>
      <c r="AG17" s="3"/>
      <c r="AH17" s="3"/>
      <c r="AI17" s="3"/>
      <c r="AJ17" s="14"/>
      <c r="AK17" s="18">
        <f t="shared" si="11"/>
        <v>12</v>
      </c>
      <c r="AL17" s="24">
        <f t="shared" si="8"/>
        <v>-14.457552000000009</v>
      </c>
      <c r="AM17" s="24">
        <f t="shared" si="12"/>
        <v>-175.46012400000009</v>
      </c>
      <c r="AQ17" s="24"/>
      <c r="AU17" s="1">
        <f>IF(D17,VLOOKUP(D17,年収と手取り!C:I,7,1),0)/9.1%</f>
        <v>106.18021978021979</v>
      </c>
    </row>
    <row r="18" spans="2:47" x14ac:dyDescent="0.25">
      <c r="B18" s="5">
        <f t="shared" si="13"/>
        <v>31</v>
      </c>
      <c r="C18" s="3">
        <f t="shared" si="14"/>
        <v>34</v>
      </c>
      <c r="D18" s="34">
        <f>IF(C18&gt;入力!$D$22,0,VLOOKUP(C18,賃金カーブ!R:Z,4,0))</f>
        <v>116.84206329898608</v>
      </c>
      <c r="E18" s="3">
        <f>VLOOKUP(D18,年収と手取り!X:Y,2,1)</f>
        <v>93.954080000000005</v>
      </c>
      <c r="F18" s="3">
        <f>-IF(OR(AND(子1!C18&gt;=入力!$I$28,子1!C18&lt;=入力!$J$28),AND(子2!C18&gt;=入力!$I$28,子2!C18&lt;=入力!$J$28),AND(子3!C18&gt;=入力!$I$28,子3!C18&lt;=入力!$J$28),AND(子4!C18&gt;=入力!$I$28,子4!C18&lt;=入力!$J$28)),親2!E18*(1-入力!$K$28),
IF(OR(AND(子1!C18&gt;=入力!$I$29,子1!C18&lt;=入力!$J$29),AND(子2!C18&gt;=入力!$I$29,子2!C18&lt;=入力!$J$29),AND(子3!C18&gt;=入力!$I$29,子3!C18&lt;=入力!$J$29),AND(子4!C18&gt;=入力!$I$29,子4!C18&lt;=入力!$J$29)),親2!E18*(1-入力!$K$29),0))</f>
        <v>-37.581632000000006</v>
      </c>
      <c r="G18" s="3">
        <f>IF(C18=入力!I$22,入力!J$31,0)</f>
        <v>0</v>
      </c>
      <c r="H18" s="3">
        <f t="shared" si="0"/>
        <v>0</v>
      </c>
      <c r="I18" s="14">
        <f>IF(H18&gt;0,-年金の税金!$G$25/10000,0)</f>
        <v>0</v>
      </c>
      <c r="J18" s="24">
        <f t="shared" si="1"/>
        <v>56.372447999999999</v>
      </c>
      <c r="K18" s="5"/>
      <c r="L18" s="3"/>
      <c r="M18" s="3">
        <f t="shared" si="9"/>
        <v>35.640000000000008</v>
      </c>
      <c r="N18" s="3">
        <f t="shared" si="2"/>
        <v>13.200000000000001</v>
      </c>
      <c r="O18" s="3">
        <f t="shared" si="2"/>
        <v>3.3000000000000003</v>
      </c>
      <c r="P18" s="3">
        <f t="shared" si="2"/>
        <v>2.6400000000000006</v>
      </c>
      <c r="Q18" s="3">
        <f t="shared" si="2"/>
        <v>1.6500000000000001</v>
      </c>
      <c r="R18" s="3">
        <f>IF(OR(AND(子1!C18&gt;=0,子1!C18&lt;=18),AND(子2!C18&gt;=0,子2!C18&lt;=18),AND(子3!C18&gt;=0,子3!C18&lt;=18),AND(子4!C18&gt;=0,子4!C18&lt;=18)),入力!$I$35,入力!$I$34)*12</f>
        <v>0</v>
      </c>
      <c r="S18" s="14"/>
      <c r="T18" s="18">
        <f t="shared" si="3"/>
        <v>56.430000000000007</v>
      </c>
      <c r="U18" s="24">
        <f t="shared" si="4"/>
        <v>-5.7552000000008263E-2</v>
      </c>
      <c r="V18" s="5"/>
      <c r="W18" s="3">
        <f t="shared" si="5"/>
        <v>2.4000000000000004</v>
      </c>
      <c r="X18" s="3"/>
      <c r="Y18" s="3"/>
      <c r="Z18" s="3"/>
      <c r="AA18" s="3"/>
      <c r="AB18" s="14"/>
      <c r="AC18" s="18">
        <f t="shared" si="6"/>
        <v>2.4000000000000004</v>
      </c>
      <c r="AD18" s="24">
        <f t="shared" si="7"/>
        <v>-2.4575520000000086</v>
      </c>
      <c r="AE18" s="5">
        <f t="shared" si="10"/>
        <v>12</v>
      </c>
      <c r="AF18" s="3"/>
      <c r="AG18" s="3"/>
      <c r="AH18" s="3"/>
      <c r="AI18" s="3"/>
      <c r="AJ18" s="14"/>
      <c r="AK18" s="18">
        <f t="shared" si="11"/>
        <v>12</v>
      </c>
      <c r="AL18" s="24">
        <f t="shared" si="8"/>
        <v>-14.457552000000009</v>
      </c>
      <c r="AM18" s="24">
        <f t="shared" si="12"/>
        <v>-189.91767600000011</v>
      </c>
      <c r="AQ18" s="24"/>
      <c r="AU18" s="1">
        <f>IF(D18,VLOOKUP(D18,年収と手取り!C:I,7,1),0)/9.1%</f>
        <v>106.18021978021979</v>
      </c>
    </row>
    <row r="19" spans="2:47" x14ac:dyDescent="0.25">
      <c r="B19" s="5">
        <f t="shared" si="13"/>
        <v>32</v>
      </c>
      <c r="C19" s="3">
        <f t="shared" si="14"/>
        <v>35</v>
      </c>
      <c r="D19" s="34">
        <f>IF(C19&gt;入力!$D$22,0,VLOOKUP(C19,賃金カーブ!R:Z,4,0))</f>
        <v>119.71477960242002</v>
      </c>
      <c r="E19" s="3">
        <f>VLOOKUP(D19,年収と手取り!X:Y,2,1)</f>
        <v>93.954080000000005</v>
      </c>
      <c r="F19" s="3">
        <f>-IF(OR(AND(子1!C19&gt;=入力!$I$28,子1!C19&lt;=入力!$J$28),AND(子2!C19&gt;=入力!$I$28,子2!C19&lt;=入力!$J$28),AND(子3!C19&gt;=入力!$I$28,子3!C19&lt;=入力!$J$28),AND(子4!C19&gt;=入力!$I$28,子4!C19&lt;=入力!$J$28)),親2!E19*(1-入力!$K$28),
IF(OR(AND(子1!C19&gt;=入力!$I$29,子1!C19&lt;=入力!$J$29),AND(子2!C19&gt;=入力!$I$29,子2!C19&lt;=入力!$J$29),AND(子3!C19&gt;=入力!$I$29,子3!C19&lt;=入力!$J$29),AND(子4!C19&gt;=入力!$I$29,子4!C19&lt;=入力!$J$29)),親2!E19*(1-入力!$K$29),0))</f>
        <v>0</v>
      </c>
      <c r="G19" s="3">
        <f>IF(C19=入力!I$22,入力!J$31,0)</f>
        <v>0</v>
      </c>
      <c r="H19" s="3">
        <f t="shared" si="0"/>
        <v>0</v>
      </c>
      <c r="I19" s="14">
        <f>IF(H19&gt;0,-年金の税金!$G$25/10000,0)</f>
        <v>0</v>
      </c>
      <c r="J19" s="24">
        <f t="shared" si="1"/>
        <v>93.954080000000005</v>
      </c>
      <c r="K19" s="5"/>
      <c r="L19" s="3"/>
      <c r="M19" s="3">
        <f t="shared" si="9"/>
        <v>35.640000000000008</v>
      </c>
      <c r="N19" s="3">
        <f t="shared" si="2"/>
        <v>13.200000000000001</v>
      </c>
      <c r="O19" s="3">
        <f t="shared" si="2"/>
        <v>3.3000000000000003</v>
      </c>
      <c r="P19" s="3">
        <f t="shared" si="2"/>
        <v>2.6400000000000006</v>
      </c>
      <c r="Q19" s="3">
        <f t="shared" si="2"/>
        <v>1.6500000000000001</v>
      </c>
      <c r="R19" s="3">
        <f>IF(OR(AND(子1!C19&gt;=0,子1!C19&lt;=18),AND(子2!C19&gt;=0,子2!C19&lt;=18),AND(子3!C19&gt;=0,子3!C19&lt;=18),AND(子4!C19&gt;=0,子4!C19&lt;=18)),入力!$I$35,入力!$I$34)*12</f>
        <v>0</v>
      </c>
      <c r="S19" s="14"/>
      <c r="T19" s="18">
        <f t="shared" si="3"/>
        <v>56.430000000000007</v>
      </c>
      <c r="U19" s="24">
        <f t="shared" si="4"/>
        <v>37.524079999999998</v>
      </c>
      <c r="V19" s="5"/>
      <c r="W19" s="3">
        <f t="shared" si="5"/>
        <v>2.4000000000000004</v>
      </c>
      <c r="X19" s="3"/>
      <c r="Y19" s="3"/>
      <c r="Z19" s="3"/>
      <c r="AA19" s="3"/>
      <c r="AB19" s="14"/>
      <c r="AC19" s="18">
        <f t="shared" si="6"/>
        <v>2.4000000000000004</v>
      </c>
      <c r="AD19" s="24">
        <f t="shared" si="7"/>
        <v>35.124079999999999</v>
      </c>
      <c r="AE19" s="5">
        <f t="shared" si="10"/>
        <v>12</v>
      </c>
      <c r="AF19" s="3"/>
      <c r="AG19" s="3"/>
      <c r="AH19" s="3"/>
      <c r="AI19" s="3"/>
      <c r="AJ19" s="14"/>
      <c r="AK19" s="18">
        <f t="shared" si="11"/>
        <v>12</v>
      </c>
      <c r="AL19" s="24">
        <f t="shared" si="8"/>
        <v>23.124079999999999</v>
      </c>
      <c r="AM19" s="24">
        <f t="shared" si="12"/>
        <v>-166.79359600000012</v>
      </c>
      <c r="AQ19" s="24"/>
      <c r="AU19" s="1">
        <f>IF(D19,VLOOKUP(D19,年収と手取り!C:I,7,1),0)/9.1%</f>
        <v>106.18021978021979</v>
      </c>
    </row>
    <row r="20" spans="2:47" x14ac:dyDescent="0.25">
      <c r="B20" s="5">
        <f t="shared" si="13"/>
        <v>33</v>
      </c>
      <c r="C20" s="3">
        <f t="shared" si="14"/>
        <v>36</v>
      </c>
      <c r="D20" s="34">
        <f>IF(C20&gt;入力!$D$22,0,VLOOKUP(C20,賃金カーブ!R:Z,4,0))</f>
        <v>121.93350640907164</v>
      </c>
      <c r="E20" s="3">
        <f>VLOOKUP(D20,年収と手取り!X:Y,2,1)</f>
        <v>102.13068</v>
      </c>
      <c r="F20" s="3">
        <f>-IF(OR(AND(子1!C20&gt;=入力!$I$28,子1!C20&lt;=入力!$J$28),AND(子2!C20&gt;=入力!$I$28,子2!C20&lt;=入力!$J$28),AND(子3!C20&gt;=入力!$I$28,子3!C20&lt;=入力!$J$28),AND(子4!C20&gt;=入力!$I$28,子4!C20&lt;=入力!$J$28)),親2!E20*(1-入力!$K$28),
IF(OR(AND(子1!C20&gt;=入力!$I$29,子1!C20&lt;=入力!$J$29),AND(子2!C20&gt;=入力!$I$29,子2!C20&lt;=入力!$J$29),AND(子3!C20&gt;=入力!$I$29,子3!C20&lt;=入力!$J$29),AND(子4!C20&gt;=入力!$I$29,子4!C20&lt;=入力!$J$29)),親2!E20*(1-入力!$K$29),0))</f>
        <v>0</v>
      </c>
      <c r="G20" s="3">
        <f>IF(C20=入力!I$22,入力!J$31,0)</f>
        <v>0</v>
      </c>
      <c r="H20" s="3">
        <f t="shared" si="0"/>
        <v>0</v>
      </c>
      <c r="I20" s="14">
        <f>IF(H20&gt;0,-年金の税金!$G$25/10000,0)</f>
        <v>0</v>
      </c>
      <c r="J20" s="24">
        <f t="shared" si="1"/>
        <v>102.13068</v>
      </c>
      <c r="K20" s="5"/>
      <c r="L20" s="3"/>
      <c r="M20" s="3">
        <f t="shared" si="9"/>
        <v>35.640000000000008</v>
      </c>
      <c r="N20" s="3">
        <f t="shared" si="2"/>
        <v>13.200000000000001</v>
      </c>
      <c r="O20" s="3">
        <f t="shared" si="2"/>
        <v>3.3000000000000003</v>
      </c>
      <c r="P20" s="3">
        <f t="shared" si="2"/>
        <v>2.6400000000000006</v>
      </c>
      <c r="Q20" s="3">
        <f t="shared" si="2"/>
        <v>1.6500000000000001</v>
      </c>
      <c r="R20" s="3">
        <f>IF(OR(AND(子1!C20&gt;=0,子1!C20&lt;=18),AND(子2!C20&gt;=0,子2!C20&lt;=18),AND(子3!C20&gt;=0,子3!C20&lt;=18),AND(子4!C20&gt;=0,子4!C20&lt;=18)),入力!$I$35,入力!$I$34)*12</f>
        <v>0</v>
      </c>
      <c r="S20" s="14"/>
      <c r="T20" s="18">
        <f t="shared" si="3"/>
        <v>56.430000000000007</v>
      </c>
      <c r="U20" s="24">
        <f t="shared" si="4"/>
        <v>45.700679999999991</v>
      </c>
      <c r="V20" s="5"/>
      <c r="W20" s="3">
        <f t="shared" si="5"/>
        <v>2.4000000000000004</v>
      </c>
      <c r="X20" s="3"/>
      <c r="Y20" s="3"/>
      <c r="Z20" s="3"/>
      <c r="AA20" s="3"/>
      <c r="AB20" s="14"/>
      <c r="AC20" s="18">
        <f t="shared" si="6"/>
        <v>2.4000000000000004</v>
      </c>
      <c r="AD20" s="24">
        <f t="shared" si="7"/>
        <v>43.300679999999993</v>
      </c>
      <c r="AE20" s="5">
        <f t="shared" si="10"/>
        <v>12</v>
      </c>
      <c r="AF20" s="3"/>
      <c r="AG20" s="3"/>
      <c r="AH20" s="3"/>
      <c r="AI20" s="3"/>
      <c r="AJ20" s="14"/>
      <c r="AK20" s="18">
        <f t="shared" si="11"/>
        <v>12</v>
      </c>
      <c r="AL20" s="24">
        <f t="shared" si="8"/>
        <v>31.300679999999993</v>
      </c>
      <c r="AM20" s="24">
        <f t="shared" si="12"/>
        <v>-135.49291600000012</v>
      </c>
      <c r="AQ20" s="24"/>
      <c r="AU20" s="1">
        <f>IF(D20,VLOOKUP(D20,年収と手取り!C:I,7,1),0)/9.1%</f>
        <v>118.24615384615386</v>
      </c>
    </row>
    <row r="21" spans="2:47" x14ac:dyDescent="0.25">
      <c r="B21" s="5">
        <f t="shared" si="13"/>
        <v>34</v>
      </c>
      <c r="C21" s="3">
        <f t="shared" si="14"/>
        <v>37</v>
      </c>
      <c r="D21" s="34">
        <f>IF(C21&gt;入力!$D$22,0,VLOOKUP(C21,賃金カーブ!R:Z,4,0))</f>
        <v>124.19335385812765</v>
      </c>
      <c r="E21" s="3">
        <f>VLOOKUP(D21,年収と手取り!X:Y,2,1)</f>
        <v>102.13068</v>
      </c>
      <c r="F21" s="3">
        <f>-IF(OR(AND(子1!C21&gt;=入力!$I$28,子1!C21&lt;=入力!$J$28),AND(子2!C21&gt;=入力!$I$28,子2!C21&lt;=入力!$J$28),AND(子3!C21&gt;=入力!$I$28,子3!C21&lt;=入力!$J$28),AND(子4!C21&gt;=入力!$I$28,子4!C21&lt;=入力!$J$28)),親2!E21*(1-入力!$K$28),
IF(OR(AND(子1!C21&gt;=入力!$I$29,子1!C21&lt;=入力!$J$29),AND(子2!C21&gt;=入力!$I$29,子2!C21&lt;=入力!$J$29),AND(子3!C21&gt;=入力!$I$29,子3!C21&lt;=入力!$J$29),AND(子4!C21&gt;=入力!$I$29,子4!C21&lt;=入力!$J$29)),親2!E21*(1-入力!$K$29),0))</f>
        <v>0</v>
      </c>
      <c r="G21" s="3">
        <f>IF(C21=入力!I$22,入力!J$31,0)</f>
        <v>0</v>
      </c>
      <c r="H21" s="3">
        <f t="shared" si="0"/>
        <v>0</v>
      </c>
      <c r="I21" s="14">
        <f>IF(H21&gt;0,-年金の税金!$G$25/10000,0)</f>
        <v>0</v>
      </c>
      <c r="J21" s="24">
        <f t="shared" si="1"/>
        <v>102.13068</v>
      </c>
      <c r="K21" s="5"/>
      <c r="L21" s="3"/>
      <c r="M21" s="3">
        <f t="shared" si="9"/>
        <v>35.640000000000008</v>
      </c>
      <c r="N21" s="3">
        <f t="shared" si="2"/>
        <v>13.200000000000001</v>
      </c>
      <c r="O21" s="3">
        <f t="shared" si="2"/>
        <v>3.3000000000000003</v>
      </c>
      <c r="P21" s="3">
        <f t="shared" si="2"/>
        <v>2.6400000000000006</v>
      </c>
      <c r="Q21" s="3">
        <f t="shared" si="2"/>
        <v>1.6500000000000001</v>
      </c>
      <c r="R21" s="3">
        <f>IF(OR(AND(子1!C21&gt;=0,子1!C21&lt;=18),AND(子2!C21&gt;=0,子2!C21&lt;=18),AND(子3!C21&gt;=0,子3!C21&lt;=18),AND(子4!C21&gt;=0,子4!C21&lt;=18)),入力!$I$35,入力!$I$34)*12</f>
        <v>0</v>
      </c>
      <c r="S21" s="14"/>
      <c r="T21" s="18">
        <f t="shared" si="3"/>
        <v>56.430000000000007</v>
      </c>
      <c r="U21" s="24">
        <f t="shared" si="4"/>
        <v>45.700679999999991</v>
      </c>
      <c r="V21" s="5"/>
      <c r="W21" s="3">
        <f t="shared" si="5"/>
        <v>2.4000000000000004</v>
      </c>
      <c r="X21" s="3"/>
      <c r="Y21" s="3"/>
      <c r="Z21" s="3"/>
      <c r="AA21" s="3"/>
      <c r="AB21" s="14"/>
      <c r="AC21" s="18">
        <f t="shared" si="6"/>
        <v>2.4000000000000004</v>
      </c>
      <c r="AD21" s="24">
        <f t="shared" si="7"/>
        <v>43.300679999999993</v>
      </c>
      <c r="AE21" s="5">
        <f t="shared" si="10"/>
        <v>12</v>
      </c>
      <c r="AF21" s="3"/>
      <c r="AG21" s="3"/>
      <c r="AH21" s="3"/>
      <c r="AI21" s="3"/>
      <c r="AJ21" s="14"/>
      <c r="AK21" s="18">
        <f t="shared" si="11"/>
        <v>12</v>
      </c>
      <c r="AL21" s="24">
        <f t="shared" si="8"/>
        <v>31.300679999999993</v>
      </c>
      <c r="AM21" s="24">
        <f t="shared" si="12"/>
        <v>-104.19223600000012</v>
      </c>
      <c r="AQ21" s="24"/>
      <c r="AU21" s="1">
        <f>IF(D21,VLOOKUP(D21,年収と手取り!C:I,7,1),0)/9.1%</f>
        <v>118.24615384615386</v>
      </c>
    </row>
    <row r="22" spans="2:47" x14ac:dyDescent="0.25">
      <c r="B22" s="5">
        <f t="shared" si="13"/>
        <v>35</v>
      </c>
      <c r="C22" s="3">
        <f t="shared" si="14"/>
        <v>38</v>
      </c>
      <c r="D22" s="34">
        <f>IF(C22&gt;入力!$D$22,0,VLOOKUP(C22,賃金カーブ!R:Z,4,0))</f>
        <v>126.49508405658867</v>
      </c>
      <c r="E22" s="3">
        <f>VLOOKUP(D22,年収と手取り!X:Y,2,1)</f>
        <v>102.13068</v>
      </c>
      <c r="F22" s="3">
        <f>-IF(OR(AND(子1!C22&gt;=入力!$I$28,子1!C22&lt;=入力!$J$28),AND(子2!C22&gt;=入力!$I$28,子2!C22&lt;=入力!$J$28),AND(子3!C22&gt;=入力!$I$28,子3!C22&lt;=入力!$J$28),AND(子4!C22&gt;=入力!$I$28,子4!C22&lt;=入力!$J$28)),親2!E22*(1-入力!$K$28),
IF(OR(AND(子1!C22&gt;=入力!$I$29,子1!C22&lt;=入力!$J$29),AND(子2!C22&gt;=入力!$I$29,子2!C22&lt;=入力!$J$29),AND(子3!C22&gt;=入力!$I$29,子3!C22&lt;=入力!$J$29),AND(子4!C22&gt;=入力!$I$29,子4!C22&lt;=入力!$J$29)),親2!E22*(1-入力!$K$29),0))</f>
        <v>0</v>
      </c>
      <c r="G22" s="3">
        <f>IF(C22=入力!I$22,入力!J$31,0)</f>
        <v>0</v>
      </c>
      <c r="H22" s="3">
        <f t="shared" si="0"/>
        <v>0</v>
      </c>
      <c r="I22" s="14">
        <f>IF(H22&gt;0,-年金の税金!$G$25/10000,0)</f>
        <v>0</v>
      </c>
      <c r="J22" s="24">
        <f t="shared" si="1"/>
        <v>102.13068</v>
      </c>
      <c r="K22" s="5"/>
      <c r="L22" s="3"/>
      <c r="M22" s="3">
        <f t="shared" si="9"/>
        <v>35.640000000000008</v>
      </c>
      <c r="N22" s="3">
        <f t="shared" si="2"/>
        <v>13.200000000000001</v>
      </c>
      <c r="O22" s="3">
        <f t="shared" si="2"/>
        <v>3.3000000000000003</v>
      </c>
      <c r="P22" s="3">
        <f t="shared" si="2"/>
        <v>2.6400000000000006</v>
      </c>
      <c r="Q22" s="3">
        <f t="shared" si="2"/>
        <v>1.6500000000000001</v>
      </c>
      <c r="R22" s="3">
        <f>IF(OR(AND(子1!C22&gt;=0,子1!C22&lt;=18),AND(子2!C22&gt;=0,子2!C22&lt;=18),AND(子3!C22&gt;=0,子3!C22&lt;=18),AND(子4!C22&gt;=0,子4!C22&lt;=18)),入力!$I$35,入力!$I$34)*12</f>
        <v>0</v>
      </c>
      <c r="S22" s="14"/>
      <c r="T22" s="18">
        <f t="shared" si="3"/>
        <v>56.430000000000007</v>
      </c>
      <c r="U22" s="24">
        <f t="shared" si="4"/>
        <v>45.700679999999991</v>
      </c>
      <c r="V22" s="5"/>
      <c r="W22" s="3">
        <f t="shared" si="5"/>
        <v>2.4000000000000004</v>
      </c>
      <c r="X22" s="3"/>
      <c r="Y22" s="3"/>
      <c r="Z22" s="3"/>
      <c r="AA22" s="3"/>
      <c r="AB22" s="14"/>
      <c r="AC22" s="18">
        <f t="shared" si="6"/>
        <v>2.4000000000000004</v>
      </c>
      <c r="AD22" s="24">
        <f t="shared" si="7"/>
        <v>43.300679999999993</v>
      </c>
      <c r="AE22" s="5">
        <f t="shared" si="10"/>
        <v>12</v>
      </c>
      <c r="AF22" s="3"/>
      <c r="AG22" s="3"/>
      <c r="AH22" s="3"/>
      <c r="AI22" s="3"/>
      <c r="AJ22" s="14"/>
      <c r="AK22" s="18">
        <f t="shared" si="11"/>
        <v>12</v>
      </c>
      <c r="AL22" s="24">
        <f t="shared" si="8"/>
        <v>31.300679999999993</v>
      </c>
      <c r="AM22" s="24">
        <f t="shared" si="12"/>
        <v>-72.891556000000122</v>
      </c>
      <c r="AQ22" s="24"/>
      <c r="AU22" s="1">
        <f>IF(D22,VLOOKUP(D22,年収と手取り!C:I,7,1),0)/9.1%</f>
        <v>118.24615384615386</v>
      </c>
    </row>
    <row r="23" spans="2:47" x14ac:dyDescent="0.25">
      <c r="B23" s="5">
        <f t="shared" si="13"/>
        <v>36</v>
      </c>
      <c r="C23" s="3">
        <f t="shared" si="14"/>
        <v>39</v>
      </c>
      <c r="D23" s="34">
        <f>IF(C23&gt;入力!$D$22,0,VLOOKUP(C23,賃金カーブ!R:Z,4,0))</f>
        <v>128.83947323592042</v>
      </c>
      <c r="E23" s="3">
        <f>VLOOKUP(D23,年収と手取り!X:Y,2,1)</f>
        <v>102.13068</v>
      </c>
      <c r="F23" s="3">
        <f>-IF(OR(AND(子1!C23&gt;=入力!$I$28,子1!C23&lt;=入力!$J$28),AND(子2!C23&gt;=入力!$I$28,子2!C23&lt;=入力!$J$28),AND(子3!C23&gt;=入力!$I$28,子3!C23&lt;=入力!$J$28),AND(子4!C23&gt;=入力!$I$28,子4!C23&lt;=入力!$J$28)),親2!E23*(1-入力!$K$28),
IF(OR(AND(子1!C23&gt;=入力!$I$29,子1!C23&lt;=入力!$J$29),AND(子2!C23&gt;=入力!$I$29,子2!C23&lt;=入力!$J$29),AND(子3!C23&gt;=入力!$I$29,子3!C23&lt;=入力!$J$29),AND(子4!C23&gt;=入力!$I$29,子4!C23&lt;=入力!$J$29)),親2!E23*(1-入力!$K$29),0))</f>
        <v>0</v>
      </c>
      <c r="G23" s="3">
        <f>IF(C23=入力!I$22,入力!J$31,0)</f>
        <v>0</v>
      </c>
      <c r="H23" s="3">
        <f t="shared" si="0"/>
        <v>0</v>
      </c>
      <c r="I23" s="14">
        <f>IF(H23&gt;0,-年金の税金!$G$25/10000,0)</f>
        <v>0</v>
      </c>
      <c r="J23" s="24">
        <f t="shared" si="1"/>
        <v>102.13068</v>
      </c>
      <c r="K23" s="5"/>
      <c r="L23" s="3"/>
      <c r="M23" s="3">
        <f t="shared" ref="M23:Q38" si="15">M$1</f>
        <v>35.640000000000008</v>
      </c>
      <c r="N23" s="3">
        <f t="shared" si="2"/>
        <v>13.200000000000001</v>
      </c>
      <c r="O23" s="3">
        <f t="shared" si="2"/>
        <v>3.3000000000000003</v>
      </c>
      <c r="P23" s="3">
        <f t="shared" si="2"/>
        <v>2.6400000000000006</v>
      </c>
      <c r="Q23" s="3">
        <f t="shared" si="2"/>
        <v>1.6500000000000001</v>
      </c>
      <c r="R23" s="3">
        <f>IF(OR(AND(子1!C23&gt;=0,子1!C23&lt;=18),AND(子2!C23&gt;=0,子2!C23&lt;=18),AND(子3!C23&gt;=0,子3!C23&lt;=18),AND(子4!C23&gt;=0,子4!C23&lt;=18)),入力!$I$35,入力!$I$34)*12</f>
        <v>0</v>
      </c>
      <c r="S23" s="14"/>
      <c r="T23" s="18">
        <f t="shared" si="3"/>
        <v>56.430000000000007</v>
      </c>
      <c r="U23" s="24">
        <f t="shared" si="4"/>
        <v>45.700679999999991</v>
      </c>
      <c r="V23" s="5"/>
      <c r="W23" s="3">
        <f t="shared" si="5"/>
        <v>2.4000000000000004</v>
      </c>
      <c r="X23" s="3"/>
      <c r="Y23" s="3"/>
      <c r="Z23" s="3"/>
      <c r="AA23" s="3"/>
      <c r="AB23" s="14"/>
      <c r="AC23" s="18">
        <f t="shared" si="6"/>
        <v>2.4000000000000004</v>
      </c>
      <c r="AD23" s="24">
        <f t="shared" si="7"/>
        <v>43.300679999999993</v>
      </c>
      <c r="AE23" s="5">
        <f t="shared" si="10"/>
        <v>12</v>
      </c>
      <c r="AF23" s="3"/>
      <c r="AG23" s="3"/>
      <c r="AH23" s="3"/>
      <c r="AI23" s="3"/>
      <c r="AJ23" s="14"/>
      <c r="AK23" s="18">
        <f t="shared" si="11"/>
        <v>12</v>
      </c>
      <c r="AL23" s="24">
        <f t="shared" si="8"/>
        <v>31.300679999999993</v>
      </c>
      <c r="AM23" s="24">
        <f t="shared" si="12"/>
        <v>-41.590876000000129</v>
      </c>
      <c r="AQ23" s="24"/>
      <c r="AU23" s="1">
        <f>IF(D23,VLOOKUP(D23,年収と手取り!C:I,7,1),0)/9.1%</f>
        <v>118.24615384615386</v>
      </c>
    </row>
    <row r="24" spans="2:47" x14ac:dyDescent="0.25">
      <c r="B24" s="5">
        <f t="shared" si="13"/>
        <v>37</v>
      </c>
      <c r="C24" s="3">
        <f t="shared" si="14"/>
        <v>40</v>
      </c>
      <c r="D24" s="34">
        <f>IF(C24&gt;入力!$D$22,0,VLOOKUP(C24,賃金カーブ!R:Z,4,0))</f>
        <v>131.22731201382882</v>
      </c>
      <c r="E24" s="3">
        <f>VLOOKUP(D24,年収と手取り!X:Y,2,1)</f>
        <v>109.40121000000001</v>
      </c>
      <c r="F24" s="3">
        <f>-IF(OR(AND(子1!C24&gt;=入力!$I$28,子1!C24&lt;=入力!$J$28),AND(子2!C24&gt;=入力!$I$28,子2!C24&lt;=入力!$J$28),AND(子3!C24&gt;=入力!$I$28,子3!C24&lt;=入力!$J$28),AND(子4!C24&gt;=入力!$I$28,子4!C24&lt;=入力!$J$28)),親2!E24*(1-入力!$K$28),
IF(OR(AND(子1!C24&gt;=入力!$I$29,子1!C24&lt;=入力!$J$29),AND(子2!C24&gt;=入力!$I$29,子2!C24&lt;=入力!$J$29),AND(子3!C24&gt;=入力!$I$29,子3!C24&lt;=入力!$J$29),AND(子4!C24&gt;=入力!$I$29,子4!C24&lt;=入力!$J$29)),親2!E24*(1-入力!$K$29),0))</f>
        <v>0</v>
      </c>
      <c r="G24" s="3">
        <f>IF(C24=入力!I$22,入力!J$31,0)</f>
        <v>0</v>
      </c>
      <c r="H24" s="3">
        <f t="shared" si="0"/>
        <v>0</v>
      </c>
      <c r="I24" s="14">
        <f>IF(H24&gt;0,-年金の税金!$G$25/10000,0)</f>
        <v>0</v>
      </c>
      <c r="J24" s="24">
        <f t="shared" si="1"/>
        <v>109.40121000000001</v>
      </c>
      <c r="K24" s="5"/>
      <c r="L24" s="3"/>
      <c r="M24" s="3">
        <f t="shared" si="15"/>
        <v>35.640000000000008</v>
      </c>
      <c r="N24" s="3">
        <f t="shared" si="2"/>
        <v>13.200000000000001</v>
      </c>
      <c r="O24" s="3">
        <f t="shared" si="2"/>
        <v>3.3000000000000003</v>
      </c>
      <c r="P24" s="3">
        <f t="shared" si="2"/>
        <v>2.6400000000000006</v>
      </c>
      <c r="Q24" s="3">
        <f t="shared" si="2"/>
        <v>1.6500000000000001</v>
      </c>
      <c r="R24" s="3">
        <f>IF(OR(AND(子1!C24&gt;=0,子1!C24&lt;=18),AND(子2!C24&gt;=0,子2!C24&lt;=18),AND(子3!C24&gt;=0,子3!C24&lt;=18),AND(子4!C24&gt;=0,子4!C24&lt;=18)),入力!$I$35,入力!$I$34)*12</f>
        <v>0</v>
      </c>
      <c r="S24" s="14"/>
      <c r="T24" s="18">
        <f t="shared" si="3"/>
        <v>56.430000000000007</v>
      </c>
      <c r="U24" s="24">
        <f t="shared" si="4"/>
        <v>52.971209999999999</v>
      </c>
      <c r="V24" s="5"/>
      <c r="W24" s="3">
        <f t="shared" si="5"/>
        <v>2.4000000000000004</v>
      </c>
      <c r="X24" s="3"/>
      <c r="Y24" s="3"/>
      <c r="Z24" s="3"/>
      <c r="AA24" s="3"/>
      <c r="AB24" s="14"/>
      <c r="AC24" s="18">
        <f t="shared" si="6"/>
        <v>2.4000000000000004</v>
      </c>
      <c r="AD24" s="24">
        <f t="shared" si="7"/>
        <v>50.571210000000001</v>
      </c>
      <c r="AE24" s="5">
        <f t="shared" si="10"/>
        <v>12</v>
      </c>
      <c r="AF24" s="3"/>
      <c r="AG24" s="3"/>
      <c r="AH24" s="3"/>
      <c r="AI24" s="3"/>
      <c r="AJ24" s="14"/>
      <c r="AK24" s="18">
        <f t="shared" si="11"/>
        <v>12</v>
      </c>
      <c r="AL24" s="24">
        <f t="shared" si="8"/>
        <v>38.571210000000001</v>
      </c>
      <c r="AM24" s="24">
        <f t="shared" si="12"/>
        <v>-3.0196660000001287</v>
      </c>
      <c r="AQ24" s="24"/>
      <c r="AU24" s="1">
        <f>IF(D24,VLOOKUP(D24,年収と手取り!C:I,7,1),0)/9.1%</f>
        <v>132.72527472527472</v>
      </c>
    </row>
    <row r="25" spans="2:47" x14ac:dyDescent="0.25">
      <c r="B25" s="5">
        <f t="shared" si="13"/>
        <v>38</v>
      </c>
      <c r="C25" s="3">
        <f t="shared" si="14"/>
        <v>41</v>
      </c>
      <c r="D25" s="34">
        <f>IF(C25&gt;入力!$D$22,0,VLOOKUP(C25,賃金カーブ!R:Z,4,0))</f>
        <v>133.36564130185775</v>
      </c>
      <c r="E25" s="3">
        <f>VLOOKUP(D25,年収と手取り!X:Y,2,1)</f>
        <v>109.40121000000001</v>
      </c>
      <c r="F25" s="3">
        <f>-IF(OR(AND(子1!C25&gt;=入力!$I$28,子1!C25&lt;=入力!$J$28),AND(子2!C25&gt;=入力!$I$28,子2!C25&lt;=入力!$J$28),AND(子3!C25&gt;=入力!$I$28,子3!C25&lt;=入力!$J$28),AND(子4!C25&gt;=入力!$I$28,子4!C25&lt;=入力!$J$28)),親2!E25*(1-入力!$K$28),
IF(OR(AND(子1!C25&gt;=入力!$I$29,子1!C25&lt;=入力!$J$29),AND(子2!C25&gt;=入力!$I$29,子2!C25&lt;=入力!$J$29),AND(子3!C25&gt;=入力!$I$29,子3!C25&lt;=入力!$J$29),AND(子4!C25&gt;=入力!$I$29,子4!C25&lt;=入力!$J$29)),親2!E25*(1-入力!$K$29),0))</f>
        <v>0</v>
      </c>
      <c r="G25" s="3">
        <f>IF(C25=入力!I$22,入力!J$31,0)</f>
        <v>0</v>
      </c>
      <c r="H25" s="3">
        <f t="shared" si="0"/>
        <v>0</v>
      </c>
      <c r="I25" s="14">
        <f>IF(H25&gt;0,-年金の税金!$G$25/10000,0)</f>
        <v>0</v>
      </c>
      <c r="J25" s="24">
        <f t="shared" si="1"/>
        <v>109.40121000000001</v>
      </c>
      <c r="K25" s="5"/>
      <c r="L25" s="3"/>
      <c r="M25" s="3">
        <f t="shared" si="15"/>
        <v>35.640000000000008</v>
      </c>
      <c r="N25" s="3">
        <f t="shared" si="2"/>
        <v>13.200000000000001</v>
      </c>
      <c r="O25" s="3">
        <f t="shared" si="2"/>
        <v>3.3000000000000003</v>
      </c>
      <c r="P25" s="3">
        <f t="shared" si="2"/>
        <v>2.6400000000000006</v>
      </c>
      <c r="Q25" s="3">
        <f t="shared" si="2"/>
        <v>1.6500000000000001</v>
      </c>
      <c r="R25" s="3">
        <f>IF(OR(AND(子1!C25&gt;=0,子1!C25&lt;=18),AND(子2!C25&gt;=0,子2!C25&lt;=18),AND(子3!C25&gt;=0,子3!C25&lt;=18),AND(子4!C25&gt;=0,子4!C25&lt;=18)),入力!$I$35,入力!$I$34)*12</f>
        <v>0</v>
      </c>
      <c r="S25" s="14"/>
      <c r="T25" s="18">
        <f t="shared" si="3"/>
        <v>56.430000000000007</v>
      </c>
      <c r="U25" s="24">
        <f t="shared" si="4"/>
        <v>52.971209999999999</v>
      </c>
      <c r="V25" s="5"/>
      <c r="W25" s="3">
        <f t="shared" si="5"/>
        <v>2.4000000000000004</v>
      </c>
      <c r="X25" s="3"/>
      <c r="Y25" s="3"/>
      <c r="Z25" s="3"/>
      <c r="AA25" s="3"/>
      <c r="AB25" s="14"/>
      <c r="AC25" s="18">
        <f t="shared" si="6"/>
        <v>2.4000000000000004</v>
      </c>
      <c r="AD25" s="24">
        <f t="shared" si="7"/>
        <v>50.571210000000001</v>
      </c>
      <c r="AE25" s="5">
        <f t="shared" si="10"/>
        <v>12</v>
      </c>
      <c r="AF25" s="3"/>
      <c r="AG25" s="3"/>
      <c r="AH25" s="3"/>
      <c r="AI25" s="3"/>
      <c r="AJ25" s="14"/>
      <c r="AK25" s="18">
        <f t="shared" si="11"/>
        <v>12</v>
      </c>
      <c r="AL25" s="24">
        <f t="shared" si="8"/>
        <v>38.571210000000001</v>
      </c>
      <c r="AM25" s="24">
        <f t="shared" si="12"/>
        <v>35.551543999999872</v>
      </c>
      <c r="AQ25" s="24"/>
      <c r="AU25" s="1">
        <f>IF(D25,VLOOKUP(D25,年収と手取り!C:I,7,1),0)/9.1%</f>
        <v>132.72527472527472</v>
      </c>
    </row>
    <row r="26" spans="2:47" x14ac:dyDescent="0.25">
      <c r="B26" s="5">
        <f t="shared" si="13"/>
        <v>39</v>
      </c>
      <c r="C26" s="3">
        <f t="shared" si="14"/>
        <v>42</v>
      </c>
      <c r="D26" s="34">
        <f>IF(C26&gt;入力!$D$22,0,VLOOKUP(C26,賃金カーブ!R:Z,4,0))</f>
        <v>135.53881434362876</v>
      </c>
      <c r="E26" s="3">
        <f>VLOOKUP(D26,年収と手取り!X:Y,2,1)</f>
        <v>109.40121000000001</v>
      </c>
      <c r="F26" s="3">
        <f>-IF(OR(AND(子1!C26&gt;=入力!$I$28,子1!C26&lt;=入力!$J$28),AND(子2!C26&gt;=入力!$I$28,子2!C26&lt;=入力!$J$28),AND(子3!C26&gt;=入力!$I$28,子3!C26&lt;=入力!$J$28),AND(子4!C26&gt;=入力!$I$28,子4!C26&lt;=入力!$J$28)),親2!E26*(1-入力!$K$28),
IF(OR(AND(子1!C26&gt;=入力!$I$29,子1!C26&lt;=入力!$J$29),AND(子2!C26&gt;=入力!$I$29,子2!C26&lt;=入力!$J$29),AND(子3!C26&gt;=入力!$I$29,子3!C26&lt;=入力!$J$29),AND(子4!C26&gt;=入力!$I$29,子4!C26&lt;=入力!$J$29)),親2!E26*(1-入力!$K$29),0))</f>
        <v>0</v>
      </c>
      <c r="G26" s="3">
        <f>IF(C26=入力!I$22,入力!J$31,0)</f>
        <v>0</v>
      </c>
      <c r="H26" s="3">
        <f t="shared" si="0"/>
        <v>0</v>
      </c>
      <c r="I26" s="14">
        <f>IF(H26&gt;0,-年金の税金!$G$25/10000,0)</f>
        <v>0</v>
      </c>
      <c r="J26" s="24">
        <f t="shared" si="1"/>
        <v>109.40121000000001</v>
      </c>
      <c r="K26" s="5"/>
      <c r="L26" s="3"/>
      <c r="M26" s="3">
        <f t="shared" si="15"/>
        <v>35.640000000000008</v>
      </c>
      <c r="N26" s="3">
        <f t="shared" si="15"/>
        <v>13.200000000000001</v>
      </c>
      <c r="O26" s="3">
        <f t="shared" si="15"/>
        <v>3.3000000000000003</v>
      </c>
      <c r="P26" s="3">
        <f t="shared" si="15"/>
        <v>2.6400000000000006</v>
      </c>
      <c r="Q26" s="3">
        <f t="shared" si="15"/>
        <v>1.6500000000000001</v>
      </c>
      <c r="R26" s="3">
        <f>IF(OR(AND(子1!C26&gt;=0,子1!C26&lt;=18),AND(子2!C26&gt;=0,子2!C26&lt;=18),AND(子3!C26&gt;=0,子3!C26&lt;=18),AND(子4!C26&gt;=0,子4!C26&lt;=18)),入力!$I$35,入力!$I$34)*12</f>
        <v>0</v>
      </c>
      <c r="S26" s="14"/>
      <c r="T26" s="18">
        <f t="shared" si="3"/>
        <v>56.430000000000007</v>
      </c>
      <c r="U26" s="24">
        <f t="shared" si="4"/>
        <v>52.971209999999999</v>
      </c>
      <c r="V26" s="5"/>
      <c r="W26" s="3">
        <f t="shared" si="5"/>
        <v>2.4000000000000004</v>
      </c>
      <c r="X26" s="3"/>
      <c r="Y26" s="3"/>
      <c r="Z26" s="3"/>
      <c r="AA26" s="3"/>
      <c r="AB26" s="14"/>
      <c r="AC26" s="18">
        <f t="shared" si="6"/>
        <v>2.4000000000000004</v>
      </c>
      <c r="AD26" s="24">
        <f t="shared" si="7"/>
        <v>50.571210000000001</v>
      </c>
      <c r="AE26" s="5">
        <f t="shared" si="10"/>
        <v>12</v>
      </c>
      <c r="AF26" s="3"/>
      <c r="AG26" s="3"/>
      <c r="AH26" s="3"/>
      <c r="AI26" s="3"/>
      <c r="AJ26" s="14"/>
      <c r="AK26" s="18">
        <f t="shared" si="11"/>
        <v>12</v>
      </c>
      <c r="AL26" s="24">
        <f t="shared" si="8"/>
        <v>38.571210000000001</v>
      </c>
      <c r="AM26" s="24">
        <f t="shared" si="12"/>
        <v>74.122753999999873</v>
      </c>
      <c r="AQ26" s="24"/>
      <c r="AU26" s="1">
        <f>IF(D26,VLOOKUP(D26,年収と手取り!C:I,7,1),0)/9.1%</f>
        <v>132.72527472527472</v>
      </c>
    </row>
    <row r="27" spans="2:47" x14ac:dyDescent="0.25">
      <c r="B27" s="5">
        <f t="shared" si="13"/>
        <v>40</v>
      </c>
      <c r="C27" s="3">
        <f t="shared" si="14"/>
        <v>43</v>
      </c>
      <c r="D27" s="34">
        <f>IF(C27&gt;入力!$D$22,0,VLOOKUP(C27,賃金カーブ!R:Z,4,0))</f>
        <v>137.74739891286197</v>
      </c>
      <c r="E27" s="3">
        <f>VLOOKUP(D27,年収と手取り!X:Y,2,1)</f>
        <v>109.40121000000001</v>
      </c>
      <c r="F27" s="3">
        <f>-IF(OR(AND(子1!C27&gt;=入力!$I$28,子1!C27&lt;=入力!$J$28),AND(子2!C27&gt;=入力!$I$28,子2!C27&lt;=入力!$J$28),AND(子3!C27&gt;=入力!$I$28,子3!C27&lt;=入力!$J$28),AND(子4!C27&gt;=入力!$I$28,子4!C27&lt;=入力!$J$28)),親2!E27*(1-入力!$K$28),
IF(OR(AND(子1!C27&gt;=入力!$I$29,子1!C27&lt;=入力!$J$29),AND(子2!C27&gt;=入力!$I$29,子2!C27&lt;=入力!$J$29),AND(子3!C27&gt;=入力!$I$29,子3!C27&lt;=入力!$J$29),AND(子4!C27&gt;=入力!$I$29,子4!C27&lt;=入力!$J$29)),親2!E27*(1-入力!$K$29),0))</f>
        <v>0</v>
      </c>
      <c r="G27" s="3">
        <f>IF(C27=入力!I$22,入力!J$31,0)</f>
        <v>0</v>
      </c>
      <c r="H27" s="3">
        <f t="shared" si="0"/>
        <v>0</v>
      </c>
      <c r="I27" s="14">
        <f>IF(H27&gt;0,-年金の税金!$G$25/10000,0)</f>
        <v>0</v>
      </c>
      <c r="J27" s="24">
        <f t="shared" si="1"/>
        <v>109.40121000000001</v>
      </c>
      <c r="K27" s="5"/>
      <c r="L27" s="3"/>
      <c r="M27" s="3">
        <f t="shared" si="15"/>
        <v>35.640000000000008</v>
      </c>
      <c r="N27" s="3">
        <f t="shared" si="15"/>
        <v>13.200000000000001</v>
      </c>
      <c r="O27" s="3">
        <f t="shared" si="15"/>
        <v>3.3000000000000003</v>
      </c>
      <c r="P27" s="3">
        <f t="shared" si="15"/>
        <v>2.6400000000000006</v>
      </c>
      <c r="Q27" s="3">
        <f t="shared" si="15"/>
        <v>1.6500000000000001</v>
      </c>
      <c r="R27" s="3">
        <f>IF(OR(AND(子1!C27&gt;=0,子1!C27&lt;=18),AND(子2!C27&gt;=0,子2!C27&lt;=18),AND(子3!C27&gt;=0,子3!C27&lt;=18),AND(子4!C27&gt;=0,子4!C27&lt;=18)),入力!$I$35,入力!$I$34)*12</f>
        <v>0</v>
      </c>
      <c r="S27" s="14"/>
      <c r="T27" s="18">
        <f t="shared" si="3"/>
        <v>56.430000000000007</v>
      </c>
      <c r="U27" s="24">
        <f t="shared" si="4"/>
        <v>52.971209999999999</v>
      </c>
      <c r="V27" s="5"/>
      <c r="W27" s="3">
        <f t="shared" si="5"/>
        <v>2.4000000000000004</v>
      </c>
      <c r="X27" s="3"/>
      <c r="Y27" s="3"/>
      <c r="Z27" s="3"/>
      <c r="AA27" s="3"/>
      <c r="AB27" s="14"/>
      <c r="AC27" s="18">
        <f t="shared" si="6"/>
        <v>2.4000000000000004</v>
      </c>
      <c r="AD27" s="24">
        <f t="shared" si="7"/>
        <v>50.571210000000001</v>
      </c>
      <c r="AE27" s="5">
        <f t="shared" si="10"/>
        <v>12</v>
      </c>
      <c r="AF27" s="3"/>
      <c r="AG27" s="3"/>
      <c r="AH27" s="3"/>
      <c r="AI27" s="3"/>
      <c r="AJ27" s="14"/>
      <c r="AK27" s="18">
        <f t="shared" si="11"/>
        <v>12</v>
      </c>
      <c r="AL27" s="24">
        <f t="shared" si="8"/>
        <v>38.571210000000001</v>
      </c>
      <c r="AM27" s="24">
        <f t="shared" si="12"/>
        <v>112.69396399999988</v>
      </c>
      <c r="AQ27" s="24"/>
      <c r="AU27" s="1">
        <f>IF(D27,VLOOKUP(D27,年収と手取り!C:I,7,1),0)/9.1%</f>
        <v>132.72527472527472</v>
      </c>
    </row>
    <row r="28" spans="2:47" x14ac:dyDescent="0.25">
      <c r="B28" s="5">
        <f t="shared" si="13"/>
        <v>41</v>
      </c>
      <c r="C28" s="3">
        <f t="shared" si="14"/>
        <v>44</v>
      </c>
      <c r="D28" s="34">
        <f>IF(C28&gt;入力!$D$22,0,VLOOKUP(C28,賃金カーブ!R:Z,4,0))</f>
        <v>139.99197203506489</v>
      </c>
      <c r="E28" s="3">
        <f>VLOOKUP(D28,年収と手取り!X:Y,2,1)</f>
        <v>109.40121000000001</v>
      </c>
      <c r="F28" s="3">
        <f>-IF(OR(AND(子1!C28&gt;=入力!$I$28,子1!C28&lt;=入力!$J$28),AND(子2!C28&gt;=入力!$I$28,子2!C28&lt;=入力!$J$28),AND(子3!C28&gt;=入力!$I$28,子3!C28&lt;=入力!$J$28),AND(子4!C28&gt;=入力!$I$28,子4!C28&lt;=入力!$J$28)),親2!E28*(1-入力!$K$28),
IF(OR(AND(子1!C28&gt;=入力!$I$29,子1!C28&lt;=入力!$J$29),AND(子2!C28&gt;=入力!$I$29,子2!C28&lt;=入力!$J$29),AND(子3!C28&gt;=入力!$I$29,子3!C28&lt;=入力!$J$29),AND(子4!C28&gt;=入力!$I$29,子4!C28&lt;=入力!$J$29)),親2!E28*(1-入力!$K$29),0))</f>
        <v>0</v>
      </c>
      <c r="G28" s="3">
        <f>IF(C28=入力!I$22,入力!J$31,0)</f>
        <v>0</v>
      </c>
      <c r="H28" s="3">
        <f t="shared" si="0"/>
        <v>0</v>
      </c>
      <c r="I28" s="14">
        <f>IF(H28&gt;0,-年金の税金!$G$25/10000,0)</f>
        <v>0</v>
      </c>
      <c r="J28" s="24">
        <f t="shared" si="1"/>
        <v>109.40121000000001</v>
      </c>
      <c r="K28" s="5"/>
      <c r="L28" s="3"/>
      <c r="M28" s="3">
        <f t="shared" si="15"/>
        <v>35.640000000000008</v>
      </c>
      <c r="N28" s="3">
        <f t="shared" si="15"/>
        <v>13.200000000000001</v>
      </c>
      <c r="O28" s="3">
        <f t="shared" si="15"/>
        <v>3.3000000000000003</v>
      </c>
      <c r="P28" s="3">
        <f t="shared" si="15"/>
        <v>2.6400000000000006</v>
      </c>
      <c r="Q28" s="3">
        <f t="shared" si="15"/>
        <v>1.6500000000000001</v>
      </c>
      <c r="R28" s="3">
        <f>IF(OR(AND(子1!C28&gt;=0,子1!C28&lt;=18),AND(子2!C28&gt;=0,子2!C28&lt;=18),AND(子3!C28&gt;=0,子3!C28&lt;=18),AND(子4!C28&gt;=0,子4!C28&lt;=18)),入力!$I$35,入力!$I$34)*12</f>
        <v>0</v>
      </c>
      <c r="S28" s="14"/>
      <c r="T28" s="18">
        <f t="shared" si="3"/>
        <v>56.430000000000007</v>
      </c>
      <c r="U28" s="24">
        <f t="shared" si="4"/>
        <v>52.971209999999999</v>
      </c>
      <c r="V28" s="5"/>
      <c r="W28" s="3">
        <f t="shared" si="5"/>
        <v>2.4000000000000004</v>
      </c>
      <c r="X28" s="3"/>
      <c r="Y28" s="3"/>
      <c r="Z28" s="3"/>
      <c r="AA28" s="3"/>
      <c r="AB28" s="14"/>
      <c r="AC28" s="18">
        <f t="shared" si="6"/>
        <v>2.4000000000000004</v>
      </c>
      <c r="AD28" s="24">
        <f t="shared" si="7"/>
        <v>50.571210000000001</v>
      </c>
      <c r="AE28" s="5">
        <f t="shared" si="10"/>
        <v>12</v>
      </c>
      <c r="AF28" s="3"/>
      <c r="AG28" s="3"/>
      <c r="AH28" s="3"/>
      <c r="AI28" s="3"/>
      <c r="AJ28" s="14"/>
      <c r="AK28" s="18">
        <f t="shared" si="11"/>
        <v>12</v>
      </c>
      <c r="AL28" s="24">
        <f t="shared" si="8"/>
        <v>38.571210000000001</v>
      </c>
      <c r="AM28" s="24">
        <f t="shared" si="12"/>
        <v>151.26517399999989</v>
      </c>
      <c r="AQ28" s="24"/>
      <c r="AU28" s="1">
        <f>IF(D28,VLOOKUP(D28,年収と手取り!C:I,7,1),0)/9.1%</f>
        <v>132.72527472527472</v>
      </c>
    </row>
    <row r="29" spans="2:47" x14ac:dyDescent="0.25">
      <c r="B29" s="5">
        <f t="shared" si="13"/>
        <v>42</v>
      </c>
      <c r="C29" s="3">
        <f t="shared" si="14"/>
        <v>45</v>
      </c>
      <c r="D29" s="34">
        <f>IF(C29&gt;入力!$D$22,0,VLOOKUP(C29,賃金カーブ!R:Z,4,0))</f>
        <v>142.27312013828865</v>
      </c>
      <c r="E29" s="3">
        <f>VLOOKUP(D29,年収と手取り!X:Y,2,1)</f>
        <v>116.661298</v>
      </c>
      <c r="F29" s="3">
        <f>-IF(OR(AND(子1!C29&gt;=入力!$I$28,子1!C29&lt;=入力!$J$28),AND(子2!C29&gt;=入力!$I$28,子2!C29&lt;=入力!$J$28),AND(子3!C29&gt;=入力!$I$28,子3!C29&lt;=入力!$J$28),AND(子4!C29&gt;=入力!$I$28,子4!C29&lt;=入力!$J$28)),親2!E29*(1-入力!$K$28),
IF(OR(AND(子1!C29&gt;=入力!$I$29,子1!C29&lt;=入力!$J$29),AND(子2!C29&gt;=入力!$I$29,子2!C29&lt;=入力!$J$29),AND(子3!C29&gt;=入力!$I$29,子3!C29&lt;=入力!$J$29),AND(子4!C29&gt;=入力!$I$29,子4!C29&lt;=入力!$J$29)),親2!E29*(1-入力!$K$29),0))</f>
        <v>0</v>
      </c>
      <c r="G29" s="3">
        <f>IF(C29=入力!I$22,入力!J$31,0)</f>
        <v>0</v>
      </c>
      <c r="H29" s="3">
        <f t="shared" si="0"/>
        <v>0</v>
      </c>
      <c r="I29" s="14">
        <f>IF(H29&gt;0,-年金の税金!$G$25/10000,0)</f>
        <v>0</v>
      </c>
      <c r="J29" s="24">
        <f t="shared" si="1"/>
        <v>116.661298</v>
      </c>
      <c r="K29" s="5"/>
      <c r="L29" s="3"/>
      <c r="M29" s="3">
        <f t="shared" si="15"/>
        <v>35.640000000000008</v>
      </c>
      <c r="N29" s="3">
        <f t="shared" si="15"/>
        <v>13.200000000000001</v>
      </c>
      <c r="O29" s="3">
        <f t="shared" si="15"/>
        <v>3.3000000000000003</v>
      </c>
      <c r="P29" s="3">
        <f t="shared" si="15"/>
        <v>2.6400000000000006</v>
      </c>
      <c r="Q29" s="3">
        <f t="shared" si="15"/>
        <v>1.6500000000000001</v>
      </c>
      <c r="R29" s="3">
        <f>IF(OR(AND(子1!C29&gt;=0,子1!C29&lt;=18),AND(子2!C29&gt;=0,子2!C29&lt;=18),AND(子3!C29&gt;=0,子3!C29&lt;=18),AND(子4!C29&gt;=0,子4!C29&lt;=18)),入力!$I$35,入力!$I$34)*12</f>
        <v>0</v>
      </c>
      <c r="S29" s="14"/>
      <c r="T29" s="18">
        <f t="shared" si="3"/>
        <v>56.430000000000007</v>
      </c>
      <c r="U29" s="24">
        <f t="shared" si="4"/>
        <v>60.231297999999995</v>
      </c>
      <c r="V29" s="5"/>
      <c r="W29" s="3">
        <f t="shared" si="5"/>
        <v>2.4000000000000004</v>
      </c>
      <c r="X29" s="3"/>
      <c r="Y29" s="3"/>
      <c r="Z29" s="3"/>
      <c r="AA29" s="3"/>
      <c r="AB29" s="14"/>
      <c r="AC29" s="18">
        <f t="shared" si="6"/>
        <v>2.4000000000000004</v>
      </c>
      <c r="AD29" s="24">
        <f t="shared" si="7"/>
        <v>57.831297999999997</v>
      </c>
      <c r="AE29" s="5">
        <f t="shared" si="10"/>
        <v>12</v>
      </c>
      <c r="AF29" s="3"/>
      <c r="AG29" s="3"/>
      <c r="AH29" s="3"/>
      <c r="AI29" s="3"/>
      <c r="AJ29" s="14"/>
      <c r="AK29" s="18">
        <f t="shared" si="11"/>
        <v>12</v>
      </c>
      <c r="AL29" s="24">
        <f t="shared" si="8"/>
        <v>45.831297999999997</v>
      </c>
      <c r="AM29" s="24">
        <f t="shared" si="12"/>
        <v>197.09647199999989</v>
      </c>
      <c r="AQ29" s="24"/>
      <c r="AU29" s="1">
        <f>IF(D29,VLOOKUP(D29,年収と手取り!C:I,7,1),0)/9.1%</f>
        <v>142.37802197802202</v>
      </c>
    </row>
    <row r="30" spans="2:47" x14ac:dyDescent="0.25">
      <c r="B30" s="5">
        <f t="shared" si="13"/>
        <v>43</v>
      </c>
      <c r="C30" s="3">
        <f t="shared" si="14"/>
        <v>46</v>
      </c>
      <c r="D30" s="34">
        <f>IF(C30&gt;入力!$D$22,0,VLOOKUP(C30,賃金カーブ!R:Z,4,0))</f>
        <v>144.62128534875205</v>
      </c>
      <c r="E30" s="3">
        <f>VLOOKUP(D30,年収と手取り!X:Y,2,1)</f>
        <v>116.661298</v>
      </c>
      <c r="F30" s="3">
        <f>-IF(OR(AND(子1!C30&gt;=入力!$I$28,子1!C30&lt;=入力!$J$28),AND(子2!C30&gt;=入力!$I$28,子2!C30&lt;=入力!$J$28),AND(子3!C30&gt;=入力!$I$28,子3!C30&lt;=入力!$J$28),AND(子4!C30&gt;=入力!$I$28,子4!C30&lt;=入力!$J$28)),親2!E30*(1-入力!$K$28),
IF(OR(AND(子1!C30&gt;=入力!$I$29,子1!C30&lt;=入力!$J$29),AND(子2!C30&gt;=入力!$I$29,子2!C30&lt;=入力!$J$29),AND(子3!C30&gt;=入力!$I$29,子3!C30&lt;=入力!$J$29),AND(子4!C30&gt;=入力!$I$29,子4!C30&lt;=入力!$J$29)),親2!E30*(1-入力!$K$29),0))</f>
        <v>0</v>
      </c>
      <c r="G30" s="3">
        <f>IF(C30=入力!I$22,入力!J$31,0)</f>
        <v>0</v>
      </c>
      <c r="H30" s="3">
        <f t="shared" si="0"/>
        <v>0</v>
      </c>
      <c r="I30" s="14">
        <f>IF(H30&gt;0,-年金の税金!$G$25/10000,0)</f>
        <v>0</v>
      </c>
      <c r="J30" s="24">
        <f t="shared" si="1"/>
        <v>116.661298</v>
      </c>
      <c r="K30" s="5"/>
      <c r="L30" s="3"/>
      <c r="M30" s="3">
        <f t="shared" si="15"/>
        <v>35.640000000000008</v>
      </c>
      <c r="N30" s="3">
        <f t="shared" si="15"/>
        <v>13.200000000000001</v>
      </c>
      <c r="O30" s="3">
        <f t="shared" si="15"/>
        <v>3.3000000000000003</v>
      </c>
      <c r="P30" s="3">
        <f t="shared" si="15"/>
        <v>2.6400000000000006</v>
      </c>
      <c r="Q30" s="3">
        <f t="shared" si="15"/>
        <v>1.6500000000000001</v>
      </c>
      <c r="R30" s="3">
        <f>IF(OR(AND(子1!C30&gt;=0,子1!C30&lt;=18),AND(子2!C30&gt;=0,子2!C30&lt;=18),AND(子3!C30&gt;=0,子3!C30&lt;=18),AND(子4!C30&gt;=0,子4!C30&lt;=18)),入力!$I$35,入力!$I$34)*12</f>
        <v>0</v>
      </c>
      <c r="S30" s="14"/>
      <c r="T30" s="18">
        <f t="shared" si="3"/>
        <v>56.430000000000007</v>
      </c>
      <c r="U30" s="24">
        <f t="shared" si="4"/>
        <v>60.231297999999995</v>
      </c>
      <c r="V30" s="5"/>
      <c r="W30" s="3">
        <f t="shared" si="5"/>
        <v>2.4000000000000004</v>
      </c>
      <c r="X30" s="3"/>
      <c r="Y30" s="3"/>
      <c r="Z30" s="3"/>
      <c r="AA30" s="3"/>
      <c r="AB30" s="14"/>
      <c r="AC30" s="18">
        <f t="shared" si="6"/>
        <v>2.4000000000000004</v>
      </c>
      <c r="AD30" s="24">
        <f t="shared" si="7"/>
        <v>57.831297999999997</v>
      </c>
      <c r="AE30" s="5">
        <f t="shared" si="10"/>
        <v>12</v>
      </c>
      <c r="AF30" s="3"/>
      <c r="AG30" s="3"/>
      <c r="AH30" s="3"/>
      <c r="AI30" s="3"/>
      <c r="AJ30" s="14"/>
      <c r="AK30" s="18">
        <f t="shared" si="11"/>
        <v>12</v>
      </c>
      <c r="AL30" s="24">
        <f t="shared" si="8"/>
        <v>45.831297999999997</v>
      </c>
      <c r="AM30" s="24">
        <f t="shared" si="12"/>
        <v>242.9277699999999</v>
      </c>
      <c r="AQ30" s="24"/>
      <c r="AU30" s="1">
        <f>IF(D30,VLOOKUP(D30,年収と手取り!C:I,7,1),0)/9.1%</f>
        <v>142.37802197802202</v>
      </c>
    </row>
    <row r="31" spans="2:47" x14ac:dyDescent="0.25">
      <c r="B31" s="5">
        <f t="shared" si="13"/>
        <v>44</v>
      </c>
      <c r="C31" s="3">
        <f t="shared" si="14"/>
        <v>47</v>
      </c>
      <c r="D31" s="34">
        <f>IF(C31&gt;入力!$D$22,0,VLOOKUP(C31,賃金カーブ!R:Z,4,0))</f>
        <v>147.00820615725303</v>
      </c>
      <c r="E31" s="3">
        <f>VLOOKUP(D31,年収と手取り!X:Y,2,1)</f>
        <v>116.661298</v>
      </c>
      <c r="F31" s="3">
        <f>-IF(OR(AND(子1!C31&gt;=入力!$I$28,子1!C31&lt;=入力!$J$28),AND(子2!C31&gt;=入力!$I$28,子2!C31&lt;=入力!$J$28),AND(子3!C31&gt;=入力!$I$28,子3!C31&lt;=入力!$J$28),AND(子4!C31&gt;=入力!$I$28,子4!C31&lt;=入力!$J$28)),親2!E31*(1-入力!$K$28),
IF(OR(AND(子1!C31&gt;=入力!$I$29,子1!C31&lt;=入力!$J$29),AND(子2!C31&gt;=入力!$I$29,子2!C31&lt;=入力!$J$29),AND(子3!C31&gt;=入力!$I$29,子3!C31&lt;=入力!$J$29),AND(子4!C31&gt;=入力!$I$29,子4!C31&lt;=入力!$J$29)),親2!E31*(1-入力!$K$29),0))</f>
        <v>0</v>
      </c>
      <c r="G31" s="3">
        <f>IF(C31=入力!I$22,入力!J$31,0)</f>
        <v>0</v>
      </c>
      <c r="H31" s="3">
        <f t="shared" si="0"/>
        <v>0</v>
      </c>
      <c r="I31" s="14">
        <f>IF(H31&gt;0,-年金の税金!$G$25/10000,0)</f>
        <v>0</v>
      </c>
      <c r="J31" s="24">
        <f t="shared" si="1"/>
        <v>116.661298</v>
      </c>
      <c r="K31" s="5"/>
      <c r="L31" s="3"/>
      <c r="M31" s="3">
        <f t="shared" si="15"/>
        <v>35.640000000000008</v>
      </c>
      <c r="N31" s="3">
        <f t="shared" si="15"/>
        <v>13.200000000000001</v>
      </c>
      <c r="O31" s="3">
        <f t="shared" si="15"/>
        <v>3.3000000000000003</v>
      </c>
      <c r="P31" s="3">
        <f t="shared" si="15"/>
        <v>2.6400000000000006</v>
      </c>
      <c r="Q31" s="3">
        <f t="shared" si="15"/>
        <v>1.6500000000000001</v>
      </c>
      <c r="R31" s="3">
        <f>IF(OR(AND(子1!C31&gt;=0,子1!C31&lt;=18),AND(子2!C31&gt;=0,子2!C31&lt;=18),AND(子3!C31&gt;=0,子3!C31&lt;=18),AND(子4!C31&gt;=0,子4!C31&lt;=18)),入力!$I$35,入力!$I$34)*12</f>
        <v>0</v>
      </c>
      <c r="S31" s="14"/>
      <c r="T31" s="18">
        <f t="shared" si="3"/>
        <v>56.430000000000007</v>
      </c>
      <c r="U31" s="24">
        <f t="shared" si="4"/>
        <v>60.231297999999995</v>
      </c>
      <c r="V31" s="5"/>
      <c r="W31" s="3">
        <f t="shared" si="5"/>
        <v>2.4000000000000004</v>
      </c>
      <c r="X31" s="3"/>
      <c r="Y31" s="3"/>
      <c r="Z31" s="3"/>
      <c r="AA31" s="3"/>
      <c r="AB31" s="14"/>
      <c r="AC31" s="18">
        <f t="shared" si="6"/>
        <v>2.4000000000000004</v>
      </c>
      <c r="AD31" s="24">
        <f t="shared" si="7"/>
        <v>57.831297999999997</v>
      </c>
      <c r="AE31" s="5">
        <f t="shared" si="10"/>
        <v>12</v>
      </c>
      <c r="AF31" s="3"/>
      <c r="AG31" s="3"/>
      <c r="AH31" s="3"/>
      <c r="AI31" s="3"/>
      <c r="AJ31" s="14"/>
      <c r="AK31" s="18">
        <f t="shared" si="11"/>
        <v>12</v>
      </c>
      <c r="AL31" s="24">
        <f t="shared" si="8"/>
        <v>45.831297999999997</v>
      </c>
      <c r="AM31" s="24">
        <f t="shared" si="12"/>
        <v>288.7590679999999</v>
      </c>
      <c r="AQ31" s="24"/>
      <c r="AU31" s="1">
        <f>IF(D31,VLOOKUP(D31,年収と手取り!C:I,7,1),0)/9.1%</f>
        <v>142.37802197802202</v>
      </c>
    </row>
    <row r="32" spans="2:47" x14ac:dyDescent="0.25">
      <c r="B32" s="5">
        <f t="shared" si="13"/>
        <v>45</v>
      </c>
      <c r="C32" s="3">
        <f t="shared" si="14"/>
        <v>48</v>
      </c>
      <c r="D32" s="34">
        <f>IF(C32&gt;入力!$D$22,0,VLOOKUP(C32,賃金カーブ!R:Z,4,0))</f>
        <v>149.4345222105986</v>
      </c>
      <c r="E32" s="3">
        <f>VLOOKUP(D32,年収と手取り!X:Y,2,1)</f>
        <v>116.661298</v>
      </c>
      <c r="F32" s="3">
        <f>-IF(OR(AND(子1!C32&gt;=入力!$I$28,子1!C32&lt;=入力!$J$28),AND(子2!C32&gt;=入力!$I$28,子2!C32&lt;=入力!$J$28),AND(子3!C32&gt;=入力!$I$28,子3!C32&lt;=入力!$J$28),AND(子4!C32&gt;=入力!$I$28,子4!C32&lt;=入力!$J$28)),親2!E32*(1-入力!$K$28),
IF(OR(AND(子1!C32&gt;=入力!$I$29,子1!C32&lt;=入力!$J$29),AND(子2!C32&gt;=入力!$I$29,子2!C32&lt;=入力!$J$29),AND(子3!C32&gt;=入力!$I$29,子3!C32&lt;=入力!$J$29),AND(子4!C32&gt;=入力!$I$29,子4!C32&lt;=入力!$J$29)),親2!E32*(1-入力!$K$29),0))</f>
        <v>0</v>
      </c>
      <c r="G32" s="3">
        <f>IF(C32=入力!I$22,入力!J$31,0)</f>
        <v>0</v>
      </c>
      <c r="H32" s="3">
        <f t="shared" si="0"/>
        <v>0</v>
      </c>
      <c r="I32" s="14">
        <f>IF(H32&gt;0,-年金の税金!$G$25/10000,0)</f>
        <v>0</v>
      </c>
      <c r="J32" s="24">
        <f t="shared" si="1"/>
        <v>116.661298</v>
      </c>
      <c r="K32" s="5"/>
      <c r="L32" s="3"/>
      <c r="M32" s="3">
        <f t="shared" si="15"/>
        <v>35.640000000000008</v>
      </c>
      <c r="N32" s="3">
        <f t="shared" si="15"/>
        <v>13.200000000000001</v>
      </c>
      <c r="O32" s="3">
        <f t="shared" si="15"/>
        <v>3.3000000000000003</v>
      </c>
      <c r="P32" s="3">
        <f t="shared" si="15"/>
        <v>2.6400000000000006</v>
      </c>
      <c r="Q32" s="3">
        <f t="shared" si="15"/>
        <v>1.6500000000000001</v>
      </c>
      <c r="R32" s="3">
        <f>IF(OR(AND(子1!C32&gt;=0,子1!C32&lt;=18),AND(子2!C32&gt;=0,子2!C32&lt;=18),AND(子3!C32&gt;=0,子3!C32&lt;=18),AND(子4!C32&gt;=0,子4!C32&lt;=18)),入力!$I$35,入力!$I$34)*12</f>
        <v>0</v>
      </c>
      <c r="S32" s="14"/>
      <c r="T32" s="18">
        <f t="shared" si="3"/>
        <v>56.430000000000007</v>
      </c>
      <c r="U32" s="24">
        <f t="shared" si="4"/>
        <v>60.231297999999995</v>
      </c>
      <c r="V32" s="5"/>
      <c r="W32" s="3">
        <f t="shared" si="5"/>
        <v>2.4000000000000004</v>
      </c>
      <c r="X32" s="3"/>
      <c r="Y32" s="3"/>
      <c r="Z32" s="3"/>
      <c r="AA32" s="3"/>
      <c r="AB32" s="14"/>
      <c r="AC32" s="18">
        <f t="shared" si="6"/>
        <v>2.4000000000000004</v>
      </c>
      <c r="AD32" s="24">
        <f t="shared" si="7"/>
        <v>57.831297999999997</v>
      </c>
      <c r="AE32" s="5">
        <f t="shared" si="10"/>
        <v>12</v>
      </c>
      <c r="AF32" s="3"/>
      <c r="AG32" s="3"/>
      <c r="AH32" s="3"/>
      <c r="AI32" s="3"/>
      <c r="AJ32" s="14"/>
      <c r="AK32" s="18">
        <f t="shared" si="11"/>
        <v>12</v>
      </c>
      <c r="AL32" s="24">
        <f t="shared" si="8"/>
        <v>45.831297999999997</v>
      </c>
      <c r="AM32" s="24">
        <f t="shared" si="12"/>
        <v>334.5903659999999</v>
      </c>
      <c r="AQ32" s="24"/>
      <c r="AU32" s="1">
        <f>IF(D32,VLOOKUP(D32,年収と手取り!C:I,7,1),0)/9.1%</f>
        <v>142.37802197802202</v>
      </c>
    </row>
    <row r="33" spans="2:47" x14ac:dyDescent="0.25">
      <c r="B33" s="5">
        <f t="shared" si="13"/>
        <v>46</v>
      </c>
      <c r="C33" s="3">
        <f t="shared" si="14"/>
        <v>49</v>
      </c>
      <c r="D33" s="34">
        <f>IF(C33&gt;入力!$D$22,0,VLOOKUP(C33,賃金カーブ!R:Z,4,0))</f>
        <v>151.90088371272969</v>
      </c>
      <c r="E33" s="3">
        <f>VLOOKUP(D33,年収と手取り!X:Y,2,1)</f>
        <v>123.921386</v>
      </c>
      <c r="F33" s="3">
        <f>-IF(OR(AND(子1!C33&gt;=入力!$I$28,子1!C33&lt;=入力!$J$28),AND(子2!C33&gt;=入力!$I$28,子2!C33&lt;=入力!$J$28),AND(子3!C33&gt;=入力!$I$28,子3!C33&lt;=入力!$J$28),AND(子4!C33&gt;=入力!$I$28,子4!C33&lt;=入力!$J$28)),親2!E33*(1-入力!$K$28),
IF(OR(AND(子1!C33&gt;=入力!$I$29,子1!C33&lt;=入力!$J$29),AND(子2!C33&gt;=入力!$I$29,子2!C33&lt;=入力!$J$29),AND(子3!C33&gt;=入力!$I$29,子3!C33&lt;=入力!$J$29),AND(子4!C33&gt;=入力!$I$29,子4!C33&lt;=入力!$J$29)),親2!E33*(1-入力!$K$29),0))</f>
        <v>0</v>
      </c>
      <c r="G33" s="3">
        <f>IF(C33=入力!I$22,入力!J$31,0)</f>
        <v>0</v>
      </c>
      <c r="H33" s="3">
        <f t="shared" si="0"/>
        <v>0</v>
      </c>
      <c r="I33" s="14">
        <f>IF(H33&gt;0,-年金の税金!$G$25/10000,0)</f>
        <v>0</v>
      </c>
      <c r="J33" s="24">
        <f t="shared" si="1"/>
        <v>123.921386</v>
      </c>
      <c r="K33" s="5"/>
      <c r="L33" s="3"/>
      <c r="M33" s="3">
        <f t="shared" si="15"/>
        <v>35.640000000000008</v>
      </c>
      <c r="N33" s="3">
        <f t="shared" si="15"/>
        <v>13.200000000000001</v>
      </c>
      <c r="O33" s="3">
        <f t="shared" si="15"/>
        <v>3.3000000000000003</v>
      </c>
      <c r="P33" s="3">
        <f t="shared" si="15"/>
        <v>2.6400000000000006</v>
      </c>
      <c r="Q33" s="3">
        <f t="shared" si="15"/>
        <v>1.6500000000000001</v>
      </c>
      <c r="R33" s="3">
        <f>IF(OR(AND(子1!C33&gt;=0,子1!C33&lt;=18),AND(子2!C33&gt;=0,子2!C33&lt;=18),AND(子3!C33&gt;=0,子3!C33&lt;=18),AND(子4!C33&gt;=0,子4!C33&lt;=18)),入力!$I$35,入力!$I$34)*12</f>
        <v>0</v>
      </c>
      <c r="S33" s="14"/>
      <c r="T33" s="18">
        <f t="shared" si="3"/>
        <v>56.430000000000007</v>
      </c>
      <c r="U33" s="24">
        <f t="shared" si="4"/>
        <v>67.491385999999991</v>
      </c>
      <c r="V33" s="5"/>
      <c r="W33" s="3">
        <f t="shared" si="5"/>
        <v>2.4000000000000004</v>
      </c>
      <c r="X33" s="3"/>
      <c r="Y33" s="3"/>
      <c r="Z33" s="3"/>
      <c r="AA33" s="3"/>
      <c r="AB33" s="14"/>
      <c r="AC33" s="18">
        <f t="shared" si="6"/>
        <v>2.4000000000000004</v>
      </c>
      <c r="AD33" s="24">
        <f t="shared" si="7"/>
        <v>65.091385999999986</v>
      </c>
      <c r="AE33" s="5">
        <f t="shared" si="10"/>
        <v>12</v>
      </c>
      <c r="AF33" s="3"/>
      <c r="AG33" s="3"/>
      <c r="AH33" s="3"/>
      <c r="AI33" s="3"/>
      <c r="AJ33" s="14"/>
      <c r="AK33" s="18">
        <f t="shared" si="11"/>
        <v>12</v>
      </c>
      <c r="AL33" s="24">
        <f t="shared" si="8"/>
        <v>53.091385999999986</v>
      </c>
      <c r="AM33" s="24">
        <f t="shared" si="12"/>
        <v>387.6817519999999</v>
      </c>
      <c r="AQ33" s="24"/>
      <c r="AU33" s="1">
        <f>IF(D33,VLOOKUP(D33,年収と手取り!C:I,7,1),0)/9.1%</f>
        <v>152.03076923076924</v>
      </c>
    </row>
    <row r="34" spans="2:47" x14ac:dyDescent="0.25">
      <c r="B34" s="5">
        <f t="shared" si="13"/>
        <v>47</v>
      </c>
      <c r="C34" s="3">
        <f t="shared" si="14"/>
        <v>50</v>
      </c>
      <c r="D34" s="34">
        <f>IF(C34&gt;入力!$D$22,0,VLOOKUP(C34,賃金カーブ!R:Z,4,0))</f>
        <v>154.4079515989628</v>
      </c>
      <c r="E34" s="3">
        <f>VLOOKUP(D34,年収と手取り!X:Y,2,1)</f>
        <v>123.921386</v>
      </c>
      <c r="F34" s="3">
        <f>-IF(OR(AND(子1!C34&gt;=入力!$I$28,子1!C34&lt;=入力!$J$28),AND(子2!C34&gt;=入力!$I$28,子2!C34&lt;=入力!$J$28),AND(子3!C34&gt;=入力!$I$28,子3!C34&lt;=入力!$J$28),AND(子4!C34&gt;=入力!$I$28,子4!C34&lt;=入力!$J$28)),親2!E34*(1-入力!$K$28),
IF(OR(AND(子1!C34&gt;=入力!$I$29,子1!C34&lt;=入力!$J$29),AND(子2!C34&gt;=入力!$I$29,子2!C34&lt;=入力!$J$29),AND(子3!C34&gt;=入力!$I$29,子3!C34&lt;=入力!$J$29),AND(子4!C34&gt;=入力!$I$29,子4!C34&lt;=入力!$J$29)),親2!E34*(1-入力!$K$29),0))</f>
        <v>0</v>
      </c>
      <c r="G34" s="3">
        <f>IF(C34=入力!I$22,入力!J$31,0)</f>
        <v>0</v>
      </c>
      <c r="H34" s="3">
        <f t="shared" si="0"/>
        <v>0</v>
      </c>
      <c r="I34" s="14">
        <f>IF(H34&gt;0,-年金の税金!$G$25/10000,0)</f>
        <v>0</v>
      </c>
      <c r="J34" s="24">
        <f t="shared" si="1"/>
        <v>123.921386</v>
      </c>
      <c r="K34" s="5"/>
      <c r="L34" s="3"/>
      <c r="M34" s="3">
        <f t="shared" si="15"/>
        <v>35.640000000000008</v>
      </c>
      <c r="N34" s="3">
        <f t="shared" si="15"/>
        <v>13.200000000000001</v>
      </c>
      <c r="O34" s="3">
        <f t="shared" si="15"/>
        <v>3.3000000000000003</v>
      </c>
      <c r="P34" s="3">
        <f t="shared" si="15"/>
        <v>2.6400000000000006</v>
      </c>
      <c r="Q34" s="3">
        <f t="shared" si="15"/>
        <v>1.6500000000000001</v>
      </c>
      <c r="R34" s="3">
        <f>IF(OR(AND(子1!C34&gt;=0,子1!C34&lt;=18),AND(子2!C34&gt;=0,子2!C34&lt;=18),AND(子3!C34&gt;=0,子3!C34&lt;=18),AND(子4!C34&gt;=0,子4!C34&lt;=18)),入力!$I$35,入力!$I$34)*12</f>
        <v>0</v>
      </c>
      <c r="S34" s="14"/>
      <c r="T34" s="18">
        <f t="shared" si="3"/>
        <v>56.430000000000007</v>
      </c>
      <c r="U34" s="24">
        <f t="shared" si="4"/>
        <v>67.491385999999991</v>
      </c>
      <c r="V34" s="5"/>
      <c r="W34" s="3">
        <f t="shared" si="5"/>
        <v>2.4000000000000004</v>
      </c>
      <c r="X34" s="3"/>
      <c r="Y34" s="3"/>
      <c r="Z34" s="3"/>
      <c r="AA34" s="3"/>
      <c r="AB34" s="14"/>
      <c r="AC34" s="18">
        <f t="shared" si="6"/>
        <v>2.4000000000000004</v>
      </c>
      <c r="AD34" s="24">
        <f t="shared" si="7"/>
        <v>65.091385999999986</v>
      </c>
      <c r="AE34" s="5">
        <f t="shared" si="10"/>
        <v>12</v>
      </c>
      <c r="AF34" s="3"/>
      <c r="AG34" s="3"/>
      <c r="AH34" s="3"/>
      <c r="AI34" s="3"/>
      <c r="AJ34" s="14"/>
      <c r="AK34" s="18">
        <f t="shared" si="11"/>
        <v>12</v>
      </c>
      <c r="AL34" s="24">
        <f t="shared" si="8"/>
        <v>53.091385999999986</v>
      </c>
      <c r="AM34" s="24">
        <f t="shared" si="12"/>
        <v>440.7731379999999</v>
      </c>
      <c r="AQ34" s="24"/>
      <c r="AU34" s="1">
        <f>IF(D34,VLOOKUP(D34,年収と手取り!C:I,7,1),0)/9.1%</f>
        <v>152.03076923076924</v>
      </c>
    </row>
    <row r="35" spans="2:47" x14ac:dyDescent="0.25">
      <c r="B35" s="5">
        <f t="shared" si="13"/>
        <v>48</v>
      </c>
      <c r="C35" s="3">
        <f t="shared" si="14"/>
        <v>51</v>
      </c>
      <c r="D35" s="34">
        <f>IF(C35&gt;入力!$D$22,0,VLOOKUP(C35,賃金カーブ!R:Z,4,0))</f>
        <v>153.89110640420657</v>
      </c>
      <c r="E35" s="3">
        <f>VLOOKUP(D35,年収と手取り!X:Y,2,1)</f>
        <v>123.921386</v>
      </c>
      <c r="F35" s="3">
        <f>-IF(OR(AND(子1!C35&gt;=入力!$I$28,子1!C35&lt;=入力!$J$28),AND(子2!C35&gt;=入力!$I$28,子2!C35&lt;=入力!$J$28),AND(子3!C35&gt;=入力!$I$28,子3!C35&lt;=入力!$J$28),AND(子4!C35&gt;=入力!$I$28,子4!C35&lt;=入力!$J$28)),親2!E35*(1-入力!$K$28),
IF(OR(AND(子1!C35&gt;=入力!$I$29,子1!C35&lt;=入力!$J$29),AND(子2!C35&gt;=入力!$I$29,子2!C35&lt;=入力!$J$29),AND(子3!C35&gt;=入力!$I$29,子3!C35&lt;=入力!$J$29),AND(子4!C35&gt;=入力!$I$29,子4!C35&lt;=入力!$J$29)),親2!E35*(1-入力!$K$29),0))</f>
        <v>0</v>
      </c>
      <c r="G35" s="3">
        <f>IF(C35=入力!I$22,入力!J$31,0)</f>
        <v>0</v>
      </c>
      <c r="H35" s="3">
        <f t="shared" si="0"/>
        <v>0</v>
      </c>
      <c r="I35" s="14">
        <f>IF(H35&gt;0,-年金の税金!$G$25/10000,0)</f>
        <v>0</v>
      </c>
      <c r="J35" s="24">
        <f t="shared" si="1"/>
        <v>123.921386</v>
      </c>
      <c r="K35" s="5"/>
      <c r="L35" s="3"/>
      <c r="M35" s="3">
        <f t="shared" si="15"/>
        <v>35.640000000000008</v>
      </c>
      <c r="N35" s="3">
        <f t="shared" si="15"/>
        <v>13.200000000000001</v>
      </c>
      <c r="O35" s="3">
        <f t="shared" si="15"/>
        <v>3.3000000000000003</v>
      </c>
      <c r="P35" s="3">
        <f t="shared" si="15"/>
        <v>2.6400000000000006</v>
      </c>
      <c r="Q35" s="3">
        <f t="shared" si="15"/>
        <v>1.6500000000000001</v>
      </c>
      <c r="R35" s="3">
        <f>IF(OR(AND(子1!C35&gt;=0,子1!C35&lt;=18),AND(子2!C35&gt;=0,子2!C35&lt;=18),AND(子3!C35&gt;=0,子3!C35&lt;=18),AND(子4!C35&gt;=0,子4!C35&lt;=18)),入力!$I$35,入力!$I$34)*12</f>
        <v>0</v>
      </c>
      <c r="S35" s="14"/>
      <c r="T35" s="18">
        <f t="shared" si="3"/>
        <v>56.430000000000007</v>
      </c>
      <c r="U35" s="24">
        <f t="shared" si="4"/>
        <v>67.491385999999991</v>
      </c>
      <c r="V35" s="5"/>
      <c r="W35" s="3">
        <f t="shared" si="5"/>
        <v>2.4000000000000004</v>
      </c>
      <c r="X35" s="3"/>
      <c r="Y35" s="3"/>
      <c r="Z35" s="3"/>
      <c r="AA35" s="3"/>
      <c r="AB35" s="14"/>
      <c r="AC35" s="18">
        <f t="shared" si="6"/>
        <v>2.4000000000000004</v>
      </c>
      <c r="AD35" s="24">
        <f t="shared" si="7"/>
        <v>65.091385999999986</v>
      </c>
      <c r="AE35" s="5">
        <f t="shared" si="10"/>
        <v>12</v>
      </c>
      <c r="AF35" s="3"/>
      <c r="AG35" s="3"/>
      <c r="AH35" s="3"/>
      <c r="AI35" s="3"/>
      <c r="AJ35" s="14"/>
      <c r="AK35" s="18">
        <f t="shared" si="11"/>
        <v>12</v>
      </c>
      <c r="AL35" s="24">
        <f t="shared" si="8"/>
        <v>53.091385999999986</v>
      </c>
      <c r="AM35" s="24">
        <f t="shared" si="12"/>
        <v>493.8645239999999</v>
      </c>
      <c r="AQ35" s="24"/>
      <c r="AU35" s="1">
        <f>IF(D35,VLOOKUP(D35,年収と手取り!C:I,7,1),0)/9.1%</f>
        <v>152.03076923076924</v>
      </c>
    </row>
    <row r="36" spans="2:47" x14ac:dyDescent="0.25">
      <c r="B36" s="5">
        <f t="shared" si="13"/>
        <v>49</v>
      </c>
      <c r="C36" s="3">
        <f t="shared" si="14"/>
        <v>52</v>
      </c>
      <c r="D36" s="34">
        <f>IF(C36&gt;入力!$D$22,0,VLOOKUP(C36,賃金カーブ!R:Z,4,0))</f>
        <v>153.37599123016869</v>
      </c>
      <c r="E36" s="3">
        <f>VLOOKUP(D36,年収と手取り!X:Y,2,1)</f>
        <v>123.921386</v>
      </c>
      <c r="F36" s="3">
        <f>-IF(OR(AND(子1!C36&gt;=入力!$I$28,子1!C36&lt;=入力!$J$28),AND(子2!C36&gt;=入力!$I$28,子2!C36&lt;=入力!$J$28),AND(子3!C36&gt;=入力!$I$28,子3!C36&lt;=入力!$J$28),AND(子4!C36&gt;=入力!$I$28,子4!C36&lt;=入力!$J$28)),親2!E36*(1-入力!$K$28),
IF(OR(AND(子1!C36&gt;=入力!$I$29,子1!C36&lt;=入力!$J$29),AND(子2!C36&gt;=入力!$I$29,子2!C36&lt;=入力!$J$29),AND(子3!C36&gt;=入力!$I$29,子3!C36&lt;=入力!$J$29),AND(子4!C36&gt;=入力!$I$29,子4!C36&lt;=入力!$J$29)),親2!E36*(1-入力!$K$29),0))</f>
        <v>0</v>
      </c>
      <c r="G36" s="3">
        <f>IF(C36=入力!I$22,入力!J$31,0)</f>
        <v>0</v>
      </c>
      <c r="H36" s="3">
        <f t="shared" si="0"/>
        <v>0</v>
      </c>
      <c r="I36" s="14">
        <f>IF(H36&gt;0,-年金の税金!$G$25/10000,0)</f>
        <v>0</v>
      </c>
      <c r="J36" s="24">
        <f t="shared" si="1"/>
        <v>123.921386</v>
      </c>
      <c r="K36" s="5"/>
      <c r="L36" s="3"/>
      <c r="M36" s="3">
        <f t="shared" si="15"/>
        <v>35.640000000000008</v>
      </c>
      <c r="N36" s="3">
        <f t="shared" si="15"/>
        <v>13.200000000000001</v>
      </c>
      <c r="O36" s="3">
        <f t="shared" si="15"/>
        <v>3.3000000000000003</v>
      </c>
      <c r="P36" s="3">
        <f t="shared" si="15"/>
        <v>2.6400000000000006</v>
      </c>
      <c r="Q36" s="3">
        <f t="shared" si="15"/>
        <v>1.6500000000000001</v>
      </c>
      <c r="R36" s="3">
        <f>IF(OR(AND(子1!C36&gt;=0,子1!C36&lt;=18),AND(子2!C36&gt;=0,子2!C36&lt;=18),AND(子3!C36&gt;=0,子3!C36&lt;=18),AND(子4!C36&gt;=0,子4!C36&lt;=18)),入力!$I$35,入力!$I$34)*12</f>
        <v>0</v>
      </c>
      <c r="S36" s="14"/>
      <c r="T36" s="18">
        <f t="shared" si="3"/>
        <v>56.430000000000007</v>
      </c>
      <c r="U36" s="24">
        <f t="shared" si="4"/>
        <v>67.491385999999991</v>
      </c>
      <c r="V36" s="5"/>
      <c r="W36" s="3">
        <f t="shared" si="5"/>
        <v>2.4000000000000004</v>
      </c>
      <c r="X36" s="3"/>
      <c r="Y36" s="3"/>
      <c r="Z36" s="3"/>
      <c r="AA36" s="3"/>
      <c r="AB36" s="14"/>
      <c r="AC36" s="18">
        <f t="shared" si="6"/>
        <v>2.4000000000000004</v>
      </c>
      <c r="AD36" s="24">
        <f t="shared" si="7"/>
        <v>65.091385999999986</v>
      </c>
      <c r="AE36" s="5">
        <f t="shared" si="10"/>
        <v>12</v>
      </c>
      <c r="AF36" s="3"/>
      <c r="AG36" s="3"/>
      <c r="AH36" s="3"/>
      <c r="AI36" s="3"/>
      <c r="AJ36" s="14"/>
      <c r="AK36" s="18">
        <f t="shared" si="11"/>
        <v>12</v>
      </c>
      <c r="AL36" s="24">
        <f t="shared" si="8"/>
        <v>53.091385999999986</v>
      </c>
      <c r="AM36" s="24">
        <f t="shared" si="12"/>
        <v>546.9559099999999</v>
      </c>
      <c r="AQ36" s="24"/>
      <c r="AU36" s="1">
        <f>IF(D36,VLOOKUP(D36,年収と手取り!C:I,7,1),0)/9.1%</f>
        <v>152.03076923076924</v>
      </c>
    </row>
    <row r="37" spans="2:47" x14ac:dyDescent="0.25">
      <c r="B37" s="5">
        <f t="shared" si="13"/>
        <v>50</v>
      </c>
      <c r="C37" s="3">
        <f t="shared" si="14"/>
        <v>53</v>
      </c>
      <c r="D37" s="34">
        <f>IF(C37&gt;入力!$D$22,0,VLOOKUP(C37,賃金カーブ!R:Z,4,0))</f>
        <v>152.86260028600171</v>
      </c>
      <c r="E37" s="3">
        <f>VLOOKUP(D37,年収と手取り!X:Y,2,1)</f>
        <v>123.921386</v>
      </c>
      <c r="F37" s="3">
        <f>-IF(OR(AND(子1!C37&gt;=入力!$I$28,子1!C37&lt;=入力!$J$28),AND(子2!C37&gt;=入力!$I$28,子2!C37&lt;=入力!$J$28),AND(子3!C37&gt;=入力!$I$28,子3!C37&lt;=入力!$J$28),AND(子4!C37&gt;=入力!$I$28,子4!C37&lt;=入力!$J$28)),親2!E37*(1-入力!$K$28),
IF(OR(AND(子1!C37&gt;=入力!$I$29,子1!C37&lt;=入力!$J$29),AND(子2!C37&gt;=入力!$I$29,子2!C37&lt;=入力!$J$29),AND(子3!C37&gt;=入力!$I$29,子3!C37&lt;=入力!$J$29),AND(子4!C37&gt;=入力!$I$29,子4!C37&lt;=入力!$J$29)),親2!E37*(1-入力!$K$29),0))</f>
        <v>0</v>
      </c>
      <c r="G37" s="3">
        <f>IF(C37=入力!I$22,入力!J$31,0)</f>
        <v>0</v>
      </c>
      <c r="H37" s="3">
        <f t="shared" si="0"/>
        <v>0</v>
      </c>
      <c r="I37" s="14">
        <f>IF(H37&gt;0,-年金の税金!$G$25/10000,0)</f>
        <v>0</v>
      </c>
      <c r="J37" s="24">
        <f t="shared" si="1"/>
        <v>123.921386</v>
      </c>
      <c r="K37" s="5"/>
      <c r="L37" s="3"/>
      <c r="M37" s="3">
        <f t="shared" si="15"/>
        <v>35.640000000000008</v>
      </c>
      <c r="N37" s="3">
        <f t="shared" si="15"/>
        <v>13.200000000000001</v>
      </c>
      <c r="O37" s="3">
        <f t="shared" si="15"/>
        <v>3.3000000000000003</v>
      </c>
      <c r="P37" s="3">
        <f t="shared" si="15"/>
        <v>2.6400000000000006</v>
      </c>
      <c r="Q37" s="3">
        <f t="shared" si="15"/>
        <v>1.6500000000000001</v>
      </c>
      <c r="R37" s="3">
        <f>IF(OR(AND(子1!C37&gt;=0,子1!C37&lt;=18),AND(子2!C37&gt;=0,子2!C37&lt;=18),AND(子3!C37&gt;=0,子3!C37&lt;=18),AND(子4!C37&gt;=0,子4!C37&lt;=18)),入力!$I$35,入力!$I$34)*12</f>
        <v>0</v>
      </c>
      <c r="S37" s="14"/>
      <c r="T37" s="18">
        <f t="shared" si="3"/>
        <v>56.430000000000007</v>
      </c>
      <c r="U37" s="24">
        <f t="shared" si="4"/>
        <v>67.491385999999991</v>
      </c>
      <c r="V37" s="5"/>
      <c r="W37" s="3">
        <f t="shared" si="5"/>
        <v>2.4000000000000004</v>
      </c>
      <c r="X37" s="3"/>
      <c r="Y37" s="3"/>
      <c r="Z37" s="3"/>
      <c r="AA37" s="3"/>
      <c r="AB37" s="14"/>
      <c r="AC37" s="18">
        <f t="shared" si="6"/>
        <v>2.4000000000000004</v>
      </c>
      <c r="AD37" s="24">
        <f t="shared" si="7"/>
        <v>65.091385999999986</v>
      </c>
      <c r="AE37" s="5">
        <f t="shared" si="10"/>
        <v>12</v>
      </c>
      <c r="AF37" s="3"/>
      <c r="AG37" s="3"/>
      <c r="AH37" s="3"/>
      <c r="AI37" s="3"/>
      <c r="AJ37" s="14"/>
      <c r="AK37" s="18">
        <f t="shared" si="11"/>
        <v>12</v>
      </c>
      <c r="AL37" s="24">
        <f t="shared" si="8"/>
        <v>53.091385999999986</v>
      </c>
      <c r="AM37" s="24">
        <f t="shared" si="12"/>
        <v>600.04729599999985</v>
      </c>
      <c r="AQ37" s="24"/>
      <c r="AU37" s="1">
        <f>IF(D37,VLOOKUP(D37,年収と手取り!C:I,7,1),0)/9.1%</f>
        <v>152.03076923076924</v>
      </c>
    </row>
    <row r="38" spans="2:47" x14ac:dyDescent="0.25">
      <c r="B38" s="5">
        <f t="shared" si="13"/>
        <v>51</v>
      </c>
      <c r="C38" s="3">
        <f t="shared" si="14"/>
        <v>54</v>
      </c>
      <c r="D38" s="34">
        <f>IF(C38&gt;入力!$D$22,0,VLOOKUP(C38,賃金カーブ!R:Z,4,0))</f>
        <v>152.35092780024164</v>
      </c>
      <c r="E38" s="3">
        <f>VLOOKUP(D38,年収と手取り!X:Y,2,1)</f>
        <v>123.921386</v>
      </c>
      <c r="F38" s="3">
        <f>-IF(OR(AND(子1!C38&gt;=入力!$I$28,子1!C38&lt;=入力!$J$28),AND(子2!C38&gt;=入力!$I$28,子2!C38&lt;=入力!$J$28),AND(子3!C38&gt;=入力!$I$28,子3!C38&lt;=入力!$J$28),AND(子4!C38&gt;=入力!$I$28,子4!C38&lt;=入力!$J$28)),親2!E38*(1-入力!$K$28),
IF(OR(AND(子1!C38&gt;=入力!$I$29,子1!C38&lt;=入力!$J$29),AND(子2!C38&gt;=入力!$I$29,子2!C38&lt;=入力!$J$29),AND(子3!C38&gt;=入力!$I$29,子3!C38&lt;=入力!$J$29),AND(子4!C38&gt;=入力!$I$29,子4!C38&lt;=入力!$J$29)),親2!E38*(1-入力!$K$29),0))</f>
        <v>0</v>
      </c>
      <c r="G38" s="3">
        <f>IF(C38=入力!I$22,入力!J$31,0)</f>
        <v>0</v>
      </c>
      <c r="H38" s="3">
        <f t="shared" si="0"/>
        <v>0</v>
      </c>
      <c r="I38" s="14">
        <f>IF(H38&gt;0,-年金の税金!$G$25/10000,0)</f>
        <v>0</v>
      </c>
      <c r="J38" s="24">
        <f t="shared" si="1"/>
        <v>123.921386</v>
      </c>
      <c r="K38" s="5"/>
      <c r="L38" s="3"/>
      <c r="M38" s="3">
        <f t="shared" si="15"/>
        <v>35.640000000000008</v>
      </c>
      <c r="N38" s="3">
        <f t="shared" si="15"/>
        <v>13.200000000000001</v>
      </c>
      <c r="O38" s="3">
        <f t="shared" si="15"/>
        <v>3.3000000000000003</v>
      </c>
      <c r="P38" s="3">
        <f t="shared" si="15"/>
        <v>2.6400000000000006</v>
      </c>
      <c r="Q38" s="3">
        <f t="shared" si="15"/>
        <v>1.6500000000000001</v>
      </c>
      <c r="R38" s="3">
        <f>IF(OR(AND(子1!C38&gt;=0,子1!C38&lt;=18),AND(子2!C38&gt;=0,子2!C38&lt;=18),AND(子3!C38&gt;=0,子3!C38&lt;=18),AND(子4!C38&gt;=0,子4!C38&lt;=18)),入力!$I$35,入力!$I$34)*12</f>
        <v>0</v>
      </c>
      <c r="S38" s="14"/>
      <c r="T38" s="18">
        <f t="shared" ref="T38:T69" si="16">SUM(K38:S38)</f>
        <v>56.430000000000007</v>
      </c>
      <c r="U38" s="24">
        <f t="shared" ref="U38:U69" si="17">J38-T38</f>
        <v>67.491385999999991</v>
      </c>
      <c r="V38" s="5"/>
      <c r="W38" s="3">
        <f t="shared" si="5"/>
        <v>2.4000000000000004</v>
      </c>
      <c r="X38" s="3"/>
      <c r="Y38" s="3"/>
      <c r="Z38" s="3"/>
      <c r="AA38" s="3"/>
      <c r="AB38" s="14"/>
      <c r="AC38" s="18">
        <f t="shared" ref="AC38:AC69" si="18">SUM(V38:AB38)</f>
        <v>2.4000000000000004</v>
      </c>
      <c r="AD38" s="24">
        <f t="shared" ref="AD38:AD69" si="19">U38-AC38</f>
        <v>65.091385999999986</v>
      </c>
      <c r="AE38" s="5">
        <f t="shared" si="10"/>
        <v>12</v>
      </c>
      <c r="AF38" s="3"/>
      <c r="AG38" s="3"/>
      <c r="AH38" s="3"/>
      <c r="AI38" s="3"/>
      <c r="AJ38" s="14"/>
      <c r="AK38" s="18">
        <f t="shared" si="11"/>
        <v>12</v>
      </c>
      <c r="AL38" s="24">
        <f t="shared" si="8"/>
        <v>53.091385999999986</v>
      </c>
      <c r="AM38" s="24">
        <f t="shared" ref="AM38:AM69" si="20">AL38+AM37</f>
        <v>653.13868199999979</v>
      </c>
      <c r="AQ38" s="24"/>
      <c r="AU38" s="1">
        <f>IF(D38,VLOOKUP(D38,年収と手取り!C:I,7,1),0)/9.1%</f>
        <v>152.03076923076924</v>
      </c>
    </row>
    <row r="39" spans="2:47" x14ac:dyDescent="0.25">
      <c r="B39" s="5">
        <f t="shared" si="13"/>
        <v>52</v>
      </c>
      <c r="C39" s="3">
        <f t="shared" si="14"/>
        <v>55</v>
      </c>
      <c r="D39" s="34">
        <f>IF(C39&gt;入力!$D$22,0,VLOOKUP(C39,賃金カーブ!R:Z,4,0))</f>
        <v>151.84096802074325</v>
      </c>
      <c r="E39" s="3">
        <f>VLOOKUP(D39,年収と手取り!X:Y,2,1)</f>
        <v>123.921386</v>
      </c>
      <c r="F39" s="3">
        <f>-IF(OR(AND(子1!C39&gt;=入力!$I$28,子1!C39&lt;=入力!$J$28),AND(子2!C39&gt;=入力!$I$28,子2!C39&lt;=入力!$J$28),AND(子3!C39&gt;=入力!$I$28,子3!C39&lt;=入力!$J$28),AND(子4!C39&gt;=入力!$I$28,子4!C39&lt;=入力!$J$28)),親2!E39*(1-入力!$K$28),
IF(OR(AND(子1!C39&gt;=入力!$I$29,子1!C39&lt;=入力!$J$29),AND(子2!C39&gt;=入力!$I$29,子2!C39&lt;=入力!$J$29),AND(子3!C39&gt;=入力!$I$29,子3!C39&lt;=入力!$J$29),AND(子4!C39&gt;=入力!$I$29,子4!C39&lt;=入力!$J$29)),親2!E39*(1-入力!$K$29),0))</f>
        <v>0</v>
      </c>
      <c r="G39" s="3">
        <f>IF(C39=入力!I$22,入力!J$31,0)</f>
        <v>0</v>
      </c>
      <c r="H39" s="3">
        <f t="shared" si="0"/>
        <v>0</v>
      </c>
      <c r="I39" s="14">
        <f>IF(H39&gt;0,-年金の税金!$G$25/10000,0)</f>
        <v>0</v>
      </c>
      <c r="J39" s="24">
        <f t="shared" si="1"/>
        <v>123.921386</v>
      </c>
      <c r="K39" s="5"/>
      <c r="L39" s="3"/>
      <c r="M39" s="3">
        <f t="shared" ref="M39:Q54" si="21">M$1</f>
        <v>35.640000000000008</v>
      </c>
      <c r="N39" s="3">
        <f t="shared" si="21"/>
        <v>13.200000000000001</v>
      </c>
      <c r="O39" s="3">
        <f t="shared" si="21"/>
        <v>3.3000000000000003</v>
      </c>
      <c r="P39" s="3">
        <f t="shared" si="21"/>
        <v>2.6400000000000006</v>
      </c>
      <c r="Q39" s="3">
        <f t="shared" si="21"/>
        <v>1.6500000000000001</v>
      </c>
      <c r="R39" s="3">
        <f>IF(OR(AND(子1!C39&gt;=0,子1!C39&lt;=18),AND(子2!C39&gt;=0,子2!C39&lt;=18),AND(子3!C39&gt;=0,子3!C39&lt;=18),AND(子4!C39&gt;=0,子4!C39&lt;=18)),入力!$I$35,入力!$I$34)*12</f>
        <v>0</v>
      </c>
      <c r="S39" s="14"/>
      <c r="T39" s="18">
        <f t="shared" si="16"/>
        <v>56.430000000000007</v>
      </c>
      <c r="U39" s="24">
        <f t="shared" si="17"/>
        <v>67.491385999999991</v>
      </c>
      <c r="V39" s="5"/>
      <c r="W39" s="3">
        <f t="shared" si="5"/>
        <v>2.4000000000000004</v>
      </c>
      <c r="X39" s="3"/>
      <c r="Y39" s="3"/>
      <c r="Z39" s="3"/>
      <c r="AA39" s="3"/>
      <c r="AB39" s="14"/>
      <c r="AC39" s="18">
        <f t="shared" si="18"/>
        <v>2.4000000000000004</v>
      </c>
      <c r="AD39" s="24">
        <f t="shared" si="19"/>
        <v>65.091385999999986</v>
      </c>
      <c r="AE39" s="5">
        <f t="shared" si="10"/>
        <v>12</v>
      </c>
      <c r="AF39" s="3"/>
      <c r="AG39" s="3"/>
      <c r="AH39" s="3"/>
      <c r="AI39" s="3"/>
      <c r="AJ39" s="14"/>
      <c r="AK39" s="18">
        <f t="shared" si="11"/>
        <v>12</v>
      </c>
      <c r="AL39" s="24">
        <f t="shared" si="8"/>
        <v>53.091385999999986</v>
      </c>
      <c r="AM39" s="24">
        <f t="shared" si="20"/>
        <v>706.23006799999973</v>
      </c>
      <c r="AQ39" s="24"/>
      <c r="AU39" s="1">
        <f>IF(D39,VLOOKUP(D39,年収と手取り!C:I,7,1),0)/9.1%</f>
        <v>152.03076923076924</v>
      </c>
    </row>
    <row r="40" spans="2:47" x14ac:dyDescent="0.25">
      <c r="B40" s="5">
        <f t="shared" ref="B40:B70" si="22">B39+1</f>
        <v>53</v>
      </c>
      <c r="C40" s="3">
        <f t="shared" si="14"/>
        <v>56</v>
      </c>
      <c r="D40" s="34">
        <f>IF(C40&gt;入力!$D$22,0,VLOOKUP(C40,賃金カーブ!R:Z,4,0))</f>
        <v>141.04566892221868</v>
      </c>
      <c r="E40" s="3">
        <f>VLOOKUP(D40,年収と手取り!X:Y,2,1)</f>
        <v>116.661298</v>
      </c>
      <c r="F40" s="3">
        <f>-IF(OR(AND(子1!C40&gt;=入力!$I$28,子1!C40&lt;=入力!$J$28),AND(子2!C40&gt;=入力!$I$28,子2!C40&lt;=入力!$J$28),AND(子3!C40&gt;=入力!$I$28,子3!C40&lt;=入力!$J$28),AND(子4!C40&gt;=入力!$I$28,子4!C40&lt;=入力!$J$28)),親2!E40*(1-入力!$K$28),
IF(OR(AND(子1!C40&gt;=入力!$I$29,子1!C40&lt;=入力!$J$29),AND(子2!C40&gt;=入力!$I$29,子2!C40&lt;=入力!$J$29),AND(子3!C40&gt;=入力!$I$29,子3!C40&lt;=入力!$J$29),AND(子4!C40&gt;=入力!$I$29,子4!C40&lt;=入力!$J$29)),親2!E40*(1-入力!$K$29),0))</f>
        <v>0</v>
      </c>
      <c r="G40" s="3">
        <f>IF(C40=入力!I$22,入力!J$31,0)</f>
        <v>0</v>
      </c>
      <c r="H40" s="3">
        <f t="shared" si="0"/>
        <v>0</v>
      </c>
      <c r="I40" s="14">
        <f>IF(H40&gt;0,-年金の税金!$G$25/10000,0)</f>
        <v>0</v>
      </c>
      <c r="J40" s="24">
        <f t="shared" ref="J40:J70" si="23">SUM(E40:I40)</f>
        <v>116.661298</v>
      </c>
      <c r="K40" s="5"/>
      <c r="L40" s="3"/>
      <c r="M40" s="3">
        <f t="shared" si="21"/>
        <v>35.640000000000008</v>
      </c>
      <c r="N40" s="3">
        <f t="shared" si="21"/>
        <v>13.200000000000001</v>
      </c>
      <c r="O40" s="3">
        <f t="shared" si="21"/>
        <v>3.3000000000000003</v>
      </c>
      <c r="P40" s="3">
        <f t="shared" si="21"/>
        <v>2.6400000000000006</v>
      </c>
      <c r="Q40" s="3">
        <f t="shared" si="21"/>
        <v>1.6500000000000001</v>
      </c>
      <c r="R40" s="3">
        <f>IF(OR(AND(子1!C40&gt;=0,子1!C40&lt;=18),AND(子2!C40&gt;=0,子2!C40&lt;=18),AND(子3!C40&gt;=0,子3!C40&lt;=18),AND(子4!C40&gt;=0,子4!C40&lt;=18)),入力!$I$35,入力!$I$34)*12</f>
        <v>0</v>
      </c>
      <c r="S40" s="14"/>
      <c r="T40" s="18">
        <f t="shared" si="16"/>
        <v>56.430000000000007</v>
      </c>
      <c r="U40" s="24">
        <f t="shared" si="17"/>
        <v>60.231297999999995</v>
      </c>
      <c r="V40" s="5"/>
      <c r="W40" s="3">
        <f t="shared" si="5"/>
        <v>2.4000000000000004</v>
      </c>
      <c r="X40" s="3"/>
      <c r="Y40" s="3"/>
      <c r="Z40" s="3"/>
      <c r="AA40" s="3"/>
      <c r="AB40" s="14"/>
      <c r="AC40" s="18">
        <f t="shared" si="18"/>
        <v>2.4000000000000004</v>
      </c>
      <c r="AD40" s="24">
        <f t="shared" si="19"/>
        <v>57.831297999999997</v>
      </c>
      <c r="AE40" s="5">
        <f t="shared" si="10"/>
        <v>12</v>
      </c>
      <c r="AF40" s="3"/>
      <c r="AG40" s="3"/>
      <c r="AH40" s="3"/>
      <c r="AI40" s="3"/>
      <c r="AJ40" s="14"/>
      <c r="AK40" s="18">
        <f t="shared" si="11"/>
        <v>12</v>
      </c>
      <c r="AL40" s="24">
        <f t="shared" si="8"/>
        <v>45.831297999999997</v>
      </c>
      <c r="AM40" s="24">
        <f t="shared" si="20"/>
        <v>752.06136599999968</v>
      </c>
      <c r="AQ40" s="24"/>
      <c r="AU40" s="1">
        <f>IF(D40,VLOOKUP(D40,年収と手取り!C:I,7,1),0)/9.1%</f>
        <v>142.37802197802202</v>
      </c>
    </row>
    <row r="41" spans="2:47" x14ac:dyDescent="0.25">
      <c r="B41" s="5">
        <f t="shared" si="22"/>
        <v>54</v>
      </c>
      <c r="C41" s="3">
        <f t="shared" si="14"/>
        <v>57</v>
      </c>
      <c r="D41" s="34">
        <f>IF(C41&gt;入力!$D$22,0,VLOOKUP(C41,賃金カーブ!R:Z,4,0))</f>
        <v>131.01787337787775</v>
      </c>
      <c r="E41" s="3">
        <f>VLOOKUP(D41,年収と手取り!X:Y,2,1)</f>
        <v>109.40121000000001</v>
      </c>
      <c r="F41" s="3">
        <f>-IF(OR(AND(子1!C41&gt;=入力!$I$28,子1!C41&lt;=入力!$J$28),AND(子2!C41&gt;=入力!$I$28,子2!C41&lt;=入力!$J$28),AND(子3!C41&gt;=入力!$I$28,子3!C41&lt;=入力!$J$28),AND(子4!C41&gt;=入力!$I$28,子4!C41&lt;=入力!$J$28)),親2!E41*(1-入力!$K$28),
IF(OR(AND(子1!C41&gt;=入力!$I$29,子1!C41&lt;=入力!$J$29),AND(子2!C41&gt;=入力!$I$29,子2!C41&lt;=入力!$J$29),AND(子3!C41&gt;=入力!$I$29,子3!C41&lt;=入力!$J$29),AND(子4!C41&gt;=入力!$I$29,子4!C41&lt;=入力!$J$29)),親2!E41*(1-入力!$K$29),0))</f>
        <v>0</v>
      </c>
      <c r="G41" s="3">
        <f>IF(C41=入力!I$22,入力!J$31,0)</f>
        <v>0</v>
      </c>
      <c r="H41" s="3">
        <f t="shared" si="0"/>
        <v>0</v>
      </c>
      <c r="I41" s="14">
        <f>IF(H41&gt;0,-年金の税金!$G$25/10000,0)</f>
        <v>0</v>
      </c>
      <c r="J41" s="24">
        <f t="shared" si="23"/>
        <v>109.40121000000001</v>
      </c>
      <c r="K41" s="5"/>
      <c r="L41" s="3"/>
      <c r="M41" s="3">
        <f t="shared" si="21"/>
        <v>35.640000000000008</v>
      </c>
      <c r="N41" s="3">
        <f t="shared" si="21"/>
        <v>13.200000000000001</v>
      </c>
      <c r="O41" s="3">
        <f t="shared" si="21"/>
        <v>3.3000000000000003</v>
      </c>
      <c r="P41" s="3">
        <f t="shared" si="21"/>
        <v>2.6400000000000006</v>
      </c>
      <c r="Q41" s="3">
        <f t="shared" si="21"/>
        <v>1.6500000000000001</v>
      </c>
      <c r="R41" s="3">
        <f>IF(OR(AND(子1!C41&gt;=0,子1!C41&lt;=18),AND(子2!C41&gt;=0,子2!C41&lt;=18),AND(子3!C41&gt;=0,子3!C41&lt;=18),AND(子4!C41&gt;=0,子4!C41&lt;=18)),入力!$I$35,入力!$I$34)*12</f>
        <v>0</v>
      </c>
      <c r="S41" s="14"/>
      <c r="T41" s="18">
        <f t="shared" si="16"/>
        <v>56.430000000000007</v>
      </c>
      <c r="U41" s="24">
        <f t="shared" si="17"/>
        <v>52.971209999999999</v>
      </c>
      <c r="V41" s="5"/>
      <c r="W41" s="3">
        <f t="shared" si="5"/>
        <v>2.4000000000000004</v>
      </c>
      <c r="X41" s="3"/>
      <c r="Y41" s="3"/>
      <c r="Z41" s="3"/>
      <c r="AA41" s="3"/>
      <c r="AB41" s="14"/>
      <c r="AC41" s="18">
        <f t="shared" si="18"/>
        <v>2.4000000000000004</v>
      </c>
      <c r="AD41" s="24">
        <f t="shared" si="19"/>
        <v>50.571210000000001</v>
      </c>
      <c r="AE41" s="5">
        <f t="shared" si="10"/>
        <v>12</v>
      </c>
      <c r="AF41" s="3"/>
      <c r="AG41" s="3"/>
      <c r="AH41" s="3"/>
      <c r="AI41" s="3"/>
      <c r="AJ41" s="14"/>
      <c r="AK41" s="18">
        <f t="shared" si="11"/>
        <v>12</v>
      </c>
      <c r="AL41" s="24">
        <f t="shared" si="8"/>
        <v>38.571210000000001</v>
      </c>
      <c r="AM41" s="24">
        <f t="shared" si="20"/>
        <v>790.63257599999963</v>
      </c>
      <c r="AQ41" s="24"/>
      <c r="AU41" s="1">
        <f>IF(D41,VLOOKUP(D41,年収と手取り!C:I,7,1),0)/9.1%</f>
        <v>132.72527472527472</v>
      </c>
    </row>
    <row r="42" spans="2:47" x14ac:dyDescent="0.25">
      <c r="B42" s="5">
        <f t="shared" si="22"/>
        <v>55</v>
      </c>
      <c r="C42" s="3">
        <f t="shared" si="14"/>
        <v>58</v>
      </c>
      <c r="D42" s="34">
        <f>IF(C42&gt;入力!$D$22,0,VLOOKUP(C42,賃金カーブ!R:Z,4,0))</f>
        <v>121.70301488610635</v>
      </c>
      <c r="E42" s="3">
        <f>VLOOKUP(D42,年収と手取り!X:Y,2,1)</f>
        <v>102.13068</v>
      </c>
      <c r="F42" s="3">
        <f>-IF(OR(AND(子1!C42&gt;=入力!$I$28,子1!C42&lt;=入力!$J$28),AND(子2!C42&gt;=入力!$I$28,子2!C42&lt;=入力!$J$28),AND(子3!C42&gt;=入力!$I$28,子3!C42&lt;=入力!$J$28),AND(子4!C42&gt;=入力!$I$28,子4!C42&lt;=入力!$J$28)),親2!E42*(1-入力!$K$28),
IF(OR(AND(子1!C42&gt;=入力!$I$29,子1!C42&lt;=入力!$J$29),AND(子2!C42&gt;=入力!$I$29,子2!C42&lt;=入力!$J$29),AND(子3!C42&gt;=入力!$I$29,子3!C42&lt;=入力!$J$29),AND(子4!C42&gt;=入力!$I$29,子4!C42&lt;=入力!$J$29)),親2!E42*(1-入力!$K$29),0))</f>
        <v>0</v>
      </c>
      <c r="G42" s="3">
        <f>IF(C42=入力!I$22,入力!J$31,0)</f>
        <v>0</v>
      </c>
      <c r="H42" s="3">
        <f t="shared" si="0"/>
        <v>0</v>
      </c>
      <c r="I42" s="14">
        <f>IF(H42&gt;0,-年金の税金!$G$25/10000,0)</f>
        <v>0</v>
      </c>
      <c r="J42" s="24">
        <f t="shared" si="23"/>
        <v>102.13068</v>
      </c>
      <c r="K42" s="5"/>
      <c r="L42" s="3"/>
      <c r="M42" s="3">
        <f t="shared" si="21"/>
        <v>35.640000000000008</v>
      </c>
      <c r="N42" s="3">
        <f t="shared" si="21"/>
        <v>13.200000000000001</v>
      </c>
      <c r="O42" s="3">
        <f t="shared" si="21"/>
        <v>3.3000000000000003</v>
      </c>
      <c r="P42" s="3">
        <f t="shared" si="21"/>
        <v>2.6400000000000006</v>
      </c>
      <c r="Q42" s="3">
        <f t="shared" si="21"/>
        <v>1.6500000000000001</v>
      </c>
      <c r="R42" s="3">
        <f>IF(OR(AND(子1!C42&gt;=0,子1!C42&lt;=18),AND(子2!C42&gt;=0,子2!C42&lt;=18),AND(子3!C42&gt;=0,子3!C42&lt;=18),AND(子4!C42&gt;=0,子4!C42&lt;=18)),入力!$I$35,入力!$I$34)*12</f>
        <v>0</v>
      </c>
      <c r="S42" s="14"/>
      <c r="T42" s="18">
        <f t="shared" si="16"/>
        <v>56.430000000000007</v>
      </c>
      <c r="U42" s="24">
        <f t="shared" si="17"/>
        <v>45.700679999999991</v>
      </c>
      <c r="V42" s="5"/>
      <c r="W42" s="3">
        <f t="shared" si="5"/>
        <v>2.4000000000000004</v>
      </c>
      <c r="X42" s="3"/>
      <c r="Y42" s="3"/>
      <c r="Z42" s="3"/>
      <c r="AA42" s="3"/>
      <c r="AB42" s="14"/>
      <c r="AC42" s="18">
        <f t="shared" si="18"/>
        <v>2.4000000000000004</v>
      </c>
      <c r="AD42" s="24">
        <f t="shared" si="19"/>
        <v>43.300679999999993</v>
      </c>
      <c r="AE42" s="5">
        <f t="shared" si="10"/>
        <v>12</v>
      </c>
      <c r="AF42" s="3"/>
      <c r="AG42" s="3"/>
      <c r="AH42" s="3"/>
      <c r="AI42" s="3"/>
      <c r="AJ42" s="14"/>
      <c r="AK42" s="18">
        <f t="shared" si="11"/>
        <v>12</v>
      </c>
      <c r="AL42" s="24">
        <f t="shared" si="8"/>
        <v>31.300679999999993</v>
      </c>
      <c r="AM42" s="24">
        <f t="shared" si="20"/>
        <v>821.93325599999957</v>
      </c>
      <c r="AQ42" s="24"/>
      <c r="AU42" s="1">
        <f>IF(D42,VLOOKUP(D42,年収と手取り!C:I,7,1),0)/9.1%</f>
        <v>118.24615384615386</v>
      </c>
    </row>
    <row r="43" spans="2:47" x14ac:dyDescent="0.25">
      <c r="B43" s="5">
        <f t="shared" si="22"/>
        <v>56</v>
      </c>
      <c r="C43" s="3">
        <f t="shared" si="14"/>
        <v>59</v>
      </c>
      <c r="D43" s="34">
        <f>IF(C43&gt;入力!$D$22,0,VLOOKUP(C43,賃金カーブ!R:Z,4,0))</f>
        <v>113.05040641018947</v>
      </c>
      <c r="E43" s="3">
        <f>VLOOKUP(D43,年収と手取り!X:Y,2,1)</f>
        <v>93.954080000000005</v>
      </c>
      <c r="F43" s="3">
        <f>-IF(OR(AND(子1!C43&gt;=入力!$I$28,子1!C43&lt;=入力!$J$28),AND(子2!C43&gt;=入力!$I$28,子2!C43&lt;=入力!$J$28),AND(子3!C43&gt;=入力!$I$28,子3!C43&lt;=入力!$J$28),AND(子4!C43&gt;=入力!$I$28,子4!C43&lt;=入力!$J$28)),親2!E43*(1-入力!$K$28),
IF(OR(AND(子1!C43&gt;=入力!$I$29,子1!C43&lt;=入力!$J$29),AND(子2!C43&gt;=入力!$I$29,子2!C43&lt;=入力!$J$29),AND(子3!C43&gt;=入力!$I$29,子3!C43&lt;=入力!$J$29),AND(子4!C43&gt;=入力!$I$29,子4!C43&lt;=入力!$J$29)),親2!E43*(1-入力!$K$29),0))</f>
        <v>0</v>
      </c>
      <c r="G43" s="3">
        <f>IF(C43=入力!I$22,入力!J$31,0)</f>
        <v>0</v>
      </c>
      <c r="H43" s="3">
        <f t="shared" si="0"/>
        <v>0</v>
      </c>
      <c r="I43" s="14">
        <f>IF(H43&gt;0,-年金の税金!$G$25/10000,0)</f>
        <v>0</v>
      </c>
      <c r="J43" s="24">
        <f t="shared" si="23"/>
        <v>93.954080000000005</v>
      </c>
      <c r="K43" s="5"/>
      <c r="L43" s="3"/>
      <c r="M43" s="3">
        <f t="shared" si="21"/>
        <v>35.640000000000008</v>
      </c>
      <c r="N43" s="3">
        <f t="shared" si="21"/>
        <v>13.200000000000001</v>
      </c>
      <c r="O43" s="3">
        <f t="shared" si="21"/>
        <v>3.3000000000000003</v>
      </c>
      <c r="P43" s="3">
        <f t="shared" si="21"/>
        <v>2.6400000000000006</v>
      </c>
      <c r="Q43" s="3">
        <f t="shared" si="21"/>
        <v>1.6500000000000001</v>
      </c>
      <c r="R43" s="3">
        <f>IF(OR(AND(子1!C43&gt;=0,子1!C43&lt;=18),AND(子2!C43&gt;=0,子2!C43&lt;=18),AND(子3!C43&gt;=0,子3!C43&lt;=18),AND(子4!C43&gt;=0,子4!C43&lt;=18)),入力!$I$35,入力!$I$34)*12</f>
        <v>0</v>
      </c>
      <c r="S43" s="14"/>
      <c r="T43" s="18">
        <f t="shared" si="16"/>
        <v>56.430000000000007</v>
      </c>
      <c r="U43" s="24">
        <f t="shared" si="17"/>
        <v>37.524079999999998</v>
      </c>
      <c r="V43" s="5"/>
      <c r="W43" s="3">
        <f t="shared" si="5"/>
        <v>2.4000000000000004</v>
      </c>
      <c r="X43" s="3"/>
      <c r="Y43" s="3"/>
      <c r="Z43" s="3"/>
      <c r="AA43" s="3"/>
      <c r="AB43" s="14"/>
      <c r="AC43" s="18">
        <f t="shared" si="18"/>
        <v>2.4000000000000004</v>
      </c>
      <c r="AD43" s="24">
        <f t="shared" si="19"/>
        <v>35.124079999999999</v>
      </c>
      <c r="AE43" s="5">
        <f t="shared" si="10"/>
        <v>12</v>
      </c>
      <c r="AF43" s="3"/>
      <c r="AG43" s="3"/>
      <c r="AH43" s="3"/>
      <c r="AI43" s="3"/>
      <c r="AJ43" s="14"/>
      <c r="AK43" s="18">
        <f t="shared" si="11"/>
        <v>12</v>
      </c>
      <c r="AL43" s="24">
        <f t="shared" si="8"/>
        <v>23.124079999999999</v>
      </c>
      <c r="AM43" s="24">
        <f t="shared" si="20"/>
        <v>845.05733599999962</v>
      </c>
      <c r="AQ43" s="24"/>
      <c r="AU43" s="1">
        <f>IF(D43,VLOOKUP(D43,年収と手取り!C:I,7,1),0)/9.1%</f>
        <v>106.18021978021979</v>
      </c>
    </row>
    <row r="44" spans="2:47" x14ac:dyDescent="0.25">
      <c r="B44" s="5">
        <f t="shared" si="22"/>
        <v>57</v>
      </c>
      <c r="C44" s="3">
        <f t="shared" si="14"/>
        <v>60</v>
      </c>
      <c r="D44" s="34">
        <f>IF(C44&gt;入力!$D$22,0,VLOOKUP(C44,賃金カーブ!R:Z,4,0))</f>
        <v>105.01296456352635</v>
      </c>
      <c r="E44" s="3">
        <f>VLOOKUP(D44,年収と手取り!X:Y,2,1)</f>
        <v>83.954080000000005</v>
      </c>
      <c r="F44" s="3">
        <f>-IF(OR(AND(子1!C44&gt;=入力!$I$28,子1!C44&lt;=入力!$J$28),AND(子2!C44&gt;=入力!$I$28,子2!C44&lt;=入力!$J$28),AND(子3!C44&gt;=入力!$I$28,子3!C44&lt;=入力!$J$28),AND(子4!C44&gt;=入力!$I$28,子4!C44&lt;=入力!$J$28)),親2!E44*(1-入力!$K$28),
IF(OR(AND(子1!C44&gt;=入力!$I$29,子1!C44&lt;=入力!$J$29),AND(子2!C44&gt;=入力!$I$29,子2!C44&lt;=入力!$J$29),AND(子3!C44&gt;=入力!$I$29,子3!C44&lt;=入力!$J$29),AND(子4!C44&gt;=入力!$I$29,子4!C44&lt;=入力!$J$29)),親2!E44*(1-入力!$K$29),0))</f>
        <v>0</v>
      </c>
      <c r="G44" s="3">
        <f>IF(C44=入力!I$22,入力!J$31,0)</f>
        <v>0</v>
      </c>
      <c r="H44" s="3">
        <f t="shared" si="0"/>
        <v>0</v>
      </c>
      <c r="I44" s="14">
        <f>IF(H44&gt;0,-年金の税金!$G$25/10000,0)</f>
        <v>0</v>
      </c>
      <c r="J44" s="24">
        <f t="shared" si="23"/>
        <v>83.954080000000005</v>
      </c>
      <c r="K44" s="5"/>
      <c r="L44" s="3"/>
      <c r="M44" s="3">
        <f t="shared" si="21"/>
        <v>35.640000000000008</v>
      </c>
      <c r="N44" s="3">
        <f t="shared" si="21"/>
        <v>13.200000000000001</v>
      </c>
      <c r="O44" s="3">
        <f t="shared" si="21"/>
        <v>3.3000000000000003</v>
      </c>
      <c r="P44" s="3">
        <f t="shared" si="21"/>
        <v>2.6400000000000006</v>
      </c>
      <c r="Q44" s="3">
        <f t="shared" si="21"/>
        <v>1.6500000000000001</v>
      </c>
      <c r="R44" s="3">
        <f>IF(OR(AND(子1!C44&gt;=0,子1!C44&lt;=18),AND(子2!C44&gt;=0,子2!C44&lt;=18),AND(子3!C44&gt;=0,子3!C44&lt;=18),AND(子4!C44&gt;=0,子4!C44&lt;=18)),入力!$I$35,入力!$I$34)*12</f>
        <v>0</v>
      </c>
      <c r="S44" s="14"/>
      <c r="T44" s="18">
        <f t="shared" si="16"/>
        <v>56.430000000000007</v>
      </c>
      <c r="U44" s="24">
        <f t="shared" si="17"/>
        <v>27.524079999999998</v>
      </c>
      <c r="V44" s="5"/>
      <c r="W44" s="3">
        <f t="shared" si="5"/>
        <v>2.4000000000000004</v>
      </c>
      <c r="X44" s="3"/>
      <c r="Y44" s="3"/>
      <c r="Z44" s="3"/>
      <c r="AA44" s="3"/>
      <c r="AB44" s="14"/>
      <c r="AC44" s="18">
        <f t="shared" si="18"/>
        <v>2.4000000000000004</v>
      </c>
      <c r="AD44" s="24">
        <f t="shared" si="19"/>
        <v>25.124079999999999</v>
      </c>
      <c r="AE44" s="5">
        <f t="shared" si="10"/>
        <v>12</v>
      </c>
      <c r="AF44" s="3"/>
      <c r="AG44" s="3"/>
      <c r="AH44" s="3"/>
      <c r="AI44" s="3"/>
      <c r="AJ44" s="14"/>
      <c r="AK44" s="18">
        <f t="shared" si="11"/>
        <v>12</v>
      </c>
      <c r="AL44" s="24">
        <f t="shared" si="8"/>
        <v>13.124079999999999</v>
      </c>
      <c r="AM44" s="24">
        <f t="shared" si="20"/>
        <v>858.18141599999967</v>
      </c>
      <c r="AQ44" s="24"/>
      <c r="AU44" s="1">
        <f>IF(D44,VLOOKUP(D44,年収と手取り!C:I,7,1),0)/9.1%</f>
        <v>106.18021978021979</v>
      </c>
    </row>
    <row r="45" spans="2:47" x14ac:dyDescent="0.25">
      <c r="B45" s="5">
        <f t="shared" si="22"/>
        <v>58</v>
      </c>
      <c r="C45" s="3">
        <f t="shared" si="14"/>
        <v>61</v>
      </c>
      <c r="D45" s="34">
        <f>IF(C45&gt;入力!$D$22,0,VLOOKUP(C45,賃金カーブ!R:Z,4,0))</f>
        <v>105.01296456352635</v>
      </c>
      <c r="E45" s="3">
        <f>VLOOKUP(D45,年収と手取り!X:Y,2,1)</f>
        <v>83.954080000000005</v>
      </c>
      <c r="F45" s="3">
        <f>-IF(OR(AND(子1!C45&gt;=入力!$I$28,子1!C45&lt;=入力!$J$28),AND(子2!C45&gt;=入力!$I$28,子2!C45&lt;=入力!$J$28),AND(子3!C45&gt;=入力!$I$28,子3!C45&lt;=入力!$J$28),AND(子4!C45&gt;=入力!$I$28,子4!C45&lt;=入力!$J$28)),親2!E45*(1-入力!$K$28),
IF(OR(AND(子1!C45&gt;=入力!$I$29,子1!C45&lt;=入力!$J$29),AND(子2!C45&gt;=入力!$I$29,子2!C45&lt;=入力!$J$29),AND(子3!C45&gt;=入力!$I$29,子3!C45&lt;=入力!$J$29),AND(子4!C45&gt;=入力!$I$29,子4!C45&lt;=入力!$J$29)),親2!E45*(1-入力!$K$29),0))</f>
        <v>0</v>
      </c>
      <c r="G45" s="3">
        <f>IF(C45=入力!I$22,入力!J$31,0)</f>
        <v>0</v>
      </c>
      <c r="H45" s="3">
        <f>IF(C45&gt;65,6.5+$AW$74,0)*12</f>
        <v>0</v>
      </c>
      <c r="I45" s="14">
        <f>IF(H45&gt;0,-年金の税金!$G$25/10000,0)</f>
        <v>0</v>
      </c>
      <c r="J45" s="24">
        <f t="shared" si="23"/>
        <v>83.954080000000005</v>
      </c>
      <c r="K45" s="5"/>
      <c r="L45" s="3"/>
      <c r="M45" s="3">
        <f t="shared" si="21"/>
        <v>35.640000000000008</v>
      </c>
      <c r="N45" s="3">
        <f t="shared" si="21"/>
        <v>13.200000000000001</v>
      </c>
      <c r="O45" s="3">
        <f t="shared" si="21"/>
        <v>3.3000000000000003</v>
      </c>
      <c r="P45" s="3">
        <f t="shared" si="21"/>
        <v>2.6400000000000006</v>
      </c>
      <c r="Q45" s="3">
        <f t="shared" si="21"/>
        <v>1.6500000000000001</v>
      </c>
      <c r="R45" s="3">
        <f>IF(OR(AND(子1!C45&gt;=0,子1!C45&lt;=18),AND(子2!C45&gt;=0,子2!C45&lt;=18),AND(子3!C45&gt;=0,子3!C45&lt;=18),AND(子4!C45&gt;=0,子4!C45&lt;=18)),入力!$I$35,入力!$I$34)*12</f>
        <v>0</v>
      </c>
      <c r="S45" s="14"/>
      <c r="T45" s="18">
        <f t="shared" si="16"/>
        <v>56.430000000000007</v>
      </c>
      <c r="U45" s="24">
        <f t="shared" si="17"/>
        <v>27.524079999999998</v>
      </c>
      <c r="V45" s="5"/>
      <c r="W45" s="3">
        <f t="shared" si="5"/>
        <v>2.4000000000000004</v>
      </c>
      <c r="X45" s="3"/>
      <c r="Y45" s="3"/>
      <c r="Z45" s="3"/>
      <c r="AA45" s="3"/>
      <c r="AB45" s="14"/>
      <c r="AC45" s="18">
        <f t="shared" si="18"/>
        <v>2.4000000000000004</v>
      </c>
      <c r="AD45" s="24">
        <f t="shared" si="19"/>
        <v>25.124079999999999</v>
      </c>
      <c r="AE45" s="5">
        <f t="shared" si="10"/>
        <v>12</v>
      </c>
      <c r="AF45" s="3"/>
      <c r="AG45" s="3"/>
      <c r="AH45" s="3"/>
      <c r="AI45" s="3"/>
      <c r="AJ45" s="14"/>
      <c r="AK45" s="18">
        <f t="shared" si="11"/>
        <v>12</v>
      </c>
      <c r="AL45" s="24">
        <f t="shared" si="8"/>
        <v>13.124079999999999</v>
      </c>
      <c r="AM45" s="24">
        <f t="shared" si="20"/>
        <v>871.30549599999972</v>
      </c>
      <c r="AQ45" s="24"/>
      <c r="AU45" s="1">
        <f>IF(D45,VLOOKUP(D45,年収と手取り!C:I,7,1),0)/9.1%</f>
        <v>106.18021978021979</v>
      </c>
    </row>
    <row r="46" spans="2:47" x14ac:dyDescent="0.25">
      <c r="B46" s="5">
        <f t="shared" si="22"/>
        <v>59</v>
      </c>
      <c r="C46" s="3">
        <f t="shared" si="14"/>
        <v>62</v>
      </c>
      <c r="D46" s="34">
        <f>IF(C46&gt;入力!$D$22,0,VLOOKUP(C46,賃金カーブ!R:Z,4,0))</f>
        <v>105.01296456352635</v>
      </c>
      <c r="E46" s="3">
        <f>VLOOKUP(D46,年収と手取り!X:Y,2,1)</f>
        <v>83.954080000000005</v>
      </c>
      <c r="F46" s="3">
        <f>-IF(OR(AND(子1!C46&gt;=入力!$I$28,子1!C46&lt;=入力!$J$28),AND(子2!C46&gt;=入力!$I$28,子2!C46&lt;=入力!$J$28),AND(子3!C46&gt;=入力!$I$28,子3!C46&lt;=入力!$J$28),AND(子4!C46&gt;=入力!$I$28,子4!C46&lt;=入力!$J$28)),親2!E46*(1-入力!$K$28),
IF(OR(AND(子1!C46&gt;=入力!$I$29,子1!C46&lt;=入力!$J$29),AND(子2!C46&gt;=入力!$I$29,子2!C46&lt;=入力!$J$29),AND(子3!C46&gt;=入力!$I$29,子3!C46&lt;=入力!$J$29),AND(子4!C46&gt;=入力!$I$29,子4!C46&lt;=入力!$J$29)),親2!E46*(1-入力!$K$29),0))</f>
        <v>0</v>
      </c>
      <c r="G46" s="3">
        <f>IF(C46=入力!I$22,入力!J$31,0)</f>
        <v>0</v>
      </c>
      <c r="H46" s="3">
        <f t="shared" ref="H46:H70" si="24">IF(C46&gt;65,6.5+$AW$74,0)*12</f>
        <v>0</v>
      </c>
      <c r="I46" s="14">
        <f>IF(H46&gt;0,-年金の税金!$G$25/10000,0)</f>
        <v>0</v>
      </c>
      <c r="J46" s="24">
        <f t="shared" si="23"/>
        <v>83.954080000000005</v>
      </c>
      <c r="K46" s="5"/>
      <c r="L46" s="3"/>
      <c r="M46" s="3">
        <f t="shared" si="21"/>
        <v>35.640000000000008</v>
      </c>
      <c r="N46" s="3">
        <f t="shared" si="21"/>
        <v>13.200000000000001</v>
      </c>
      <c r="O46" s="3">
        <f t="shared" si="21"/>
        <v>3.3000000000000003</v>
      </c>
      <c r="P46" s="3">
        <f t="shared" si="21"/>
        <v>2.6400000000000006</v>
      </c>
      <c r="Q46" s="3">
        <f t="shared" si="21"/>
        <v>1.6500000000000001</v>
      </c>
      <c r="R46" s="3">
        <f>IF(OR(AND(子1!C46&gt;=0,子1!C46&lt;=18),AND(子2!C46&gt;=0,子2!C46&lt;=18),AND(子3!C46&gt;=0,子3!C46&lt;=18),AND(子4!C46&gt;=0,子4!C46&lt;=18)),入力!$I$35,入力!$I$34)*12</f>
        <v>0</v>
      </c>
      <c r="S46" s="14"/>
      <c r="T46" s="18">
        <f t="shared" si="16"/>
        <v>56.430000000000007</v>
      </c>
      <c r="U46" s="24">
        <f t="shared" si="17"/>
        <v>27.524079999999998</v>
      </c>
      <c r="V46" s="5"/>
      <c r="W46" s="3">
        <f t="shared" si="5"/>
        <v>2.4000000000000004</v>
      </c>
      <c r="X46" s="3"/>
      <c r="Y46" s="3"/>
      <c r="Z46" s="3"/>
      <c r="AA46" s="3"/>
      <c r="AB46" s="14"/>
      <c r="AC46" s="18">
        <f t="shared" si="18"/>
        <v>2.4000000000000004</v>
      </c>
      <c r="AD46" s="24">
        <f t="shared" si="19"/>
        <v>25.124079999999999</v>
      </c>
      <c r="AE46" s="5">
        <f t="shared" si="10"/>
        <v>12</v>
      </c>
      <c r="AF46" s="3"/>
      <c r="AG46" s="3"/>
      <c r="AH46" s="3"/>
      <c r="AI46" s="3"/>
      <c r="AJ46" s="14"/>
      <c r="AK46" s="18">
        <f t="shared" si="11"/>
        <v>12</v>
      </c>
      <c r="AL46" s="24">
        <f t="shared" si="8"/>
        <v>13.124079999999999</v>
      </c>
      <c r="AM46" s="24">
        <f t="shared" si="20"/>
        <v>884.42957599999977</v>
      </c>
      <c r="AQ46" s="24"/>
      <c r="AU46" s="1">
        <f>IF(D46,VLOOKUP(D46,年収と手取り!C:I,7,1),0)/9.1%</f>
        <v>106.18021978021979</v>
      </c>
    </row>
    <row r="47" spans="2:47" x14ac:dyDescent="0.25">
      <c r="B47" s="5">
        <f t="shared" si="22"/>
        <v>60</v>
      </c>
      <c r="C47" s="3">
        <f t="shared" si="14"/>
        <v>63</v>
      </c>
      <c r="D47" s="34">
        <f>IF(C47&gt;入力!$D$22,0,VLOOKUP(C47,賃金カーブ!R:Z,4,0))</f>
        <v>105.01296456352635</v>
      </c>
      <c r="E47" s="3">
        <f>VLOOKUP(D47,年収と手取り!X:Y,2,1)</f>
        <v>83.954080000000005</v>
      </c>
      <c r="F47" s="3">
        <f>-IF(OR(AND(子1!C47&gt;=入力!$I$28,子1!C47&lt;=入力!$J$28),AND(子2!C47&gt;=入力!$I$28,子2!C47&lt;=入力!$J$28),AND(子3!C47&gt;=入力!$I$28,子3!C47&lt;=入力!$J$28),AND(子4!C47&gt;=入力!$I$28,子4!C47&lt;=入力!$J$28)),親2!E47*(1-入力!$K$28),
IF(OR(AND(子1!C47&gt;=入力!$I$29,子1!C47&lt;=入力!$J$29),AND(子2!C47&gt;=入力!$I$29,子2!C47&lt;=入力!$J$29),AND(子3!C47&gt;=入力!$I$29,子3!C47&lt;=入力!$J$29),AND(子4!C47&gt;=入力!$I$29,子4!C47&lt;=入力!$J$29)),親2!E47*(1-入力!$K$29),0))</f>
        <v>0</v>
      </c>
      <c r="G47" s="3">
        <f>IF(C47=入力!I$22,入力!J$31,0)</f>
        <v>0</v>
      </c>
      <c r="H47" s="3">
        <f t="shared" si="24"/>
        <v>0</v>
      </c>
      <c r="I47" s="14">
        <f>IF(H47&gt;0,-年金の税金!$G$25/10000,0)</f>
        <v>0</v>
      </c>
      <c r="J47" s="24">
        <f t="shared" si="23"/>
        <v>83.954080000000005</v>
      </c>
      <c r="K47" s="5"/>
      <c r="L47" s="3"/>
      <c r="M47" s="3">
        <f t="shared" si="21"/>
        <v>35.640000000000008</v>
      </c>
      <c r="N47" s="3">
        <f t="shared" si="21"/>
        <v>13.200000000000001</v>
      </c>
      <c r="O47" s="3">
        <f t="shared" si="21"/>
        <v>3.3000000000000003</v>
      </c>
      <c r="P47" s="3">
        <f t="shared" si="21"/>
        <v>2.6400000000000006</v>
      </c>
      <c r="Q47" s="3">
        <f t="shared" si="21"/>
        <v>1.6500000000000001</v>
      </c>
      <c r="R47" s="3">
        <f>IF(OR(AND(子1!C47&gt;=0,子1!C47&lt;=18),AND(子2!C47&gt;=0,子2!C47&lt;=18),AND(子3!C47&gt;=0,子3!C47&lt;=18),AND(子4!C47&gt;=0,子4!C47&lt;=18)),入力!$I$35,入力!$I$34)*12</f>
        <v>0</v>
      </c>
      <c r="S47" s="14"/>
      <c r="T47" s="18">
        <f t="shared" si="16"/>
        <v>56.430000000000007</v>
      </c>
      <c r="U47" s="24">
        <f t="shared" si="17"/>
        <v>27.524079999999998</v>
      </c>
      <c r="V47" s="5"/>
      <c r="W47" s="3">
        <f t="shared" si="5"/>
        <v>2.4000000000000004</v>
      </c>
      <c r="X47" s="3"/>
      <c r="Y47" s="3"/>
      <c r="Z47" s="3"/>
      <c r="AA47" s="3"/>
      <c r="AB47" s="14"/>
      <c r="AC47" s="18">
        <f t="shared" si="18"/>
        <v>2.4000000000000004</v>
      </c>
      <c r="AD47" s="24">
        <f t="shared" si="19"/>
        <v>25.124079999999999</v>
      </c>
      <c r="AE47" s="5">
        <f t="shared" si="10"/>
        <v>12</v>
      </c>
      <c r="AF47" s="3"/>
      <c r="AG47" s="3"/>
      <c r="AH47" s="3"/>
      <c r="AI47" s="3"/>
      <c r="AJ47" s="14"/>
      <c r="AK47" s="18">
        <f t="shared" si="11"/>
        <v>12</v>
      </c>
      <c r="AL47" s="24">
        <f t="shared" si="8"/>
        <v>13.124079999999999</v>
      </c>
      <c r="AM47" s="24">
        <f t="shared" si="20"/>
        <v>897.55365599999982</v>
      </c>
      <c r="AQ47" s="24"/>
      <c r="AU47" s="1">
        <f>IF(D47,VLOOKUP(D47,年収と手取り!C:I,7,1),0)/9.1%</f>
        <v>106.18021978021979</v>
      </c>
    </row>
    <row r="48" spans="2:47" x14ac:dyDescent="0.25">
      <c r="B48" s="5">
        <f t="shared" si="22"/>
        <v>61</v>
      </c>
      <c r="C48" s="3">
        <f t="shared" si="14"/>
        <v>64</v>
      </c>
      <c r="D48" s="34">
        <f>IF(C48&gt;入力!$D$22,0,VLOOKUP(C48,賃金カーブ!R:Z,4,0))</f>
        <v>105.01296456352635</v>
      </c>
      <c r="E48" s="3">
        <f>VLOOKUP(D48,年収と手取り!X:Y,2,1)</f>
        <v>83.954080000000005</v>
      </c>
      <c r="F48" s="3">
        <f>-IF(OR(AND(子1!C48&gt;=入力!$I$28,子1!C48&lt;=入力!$J$28),AND(子2!C48&gt;=入力!$I$28,子2!C48&lt;=入力!$J$28),AND(子3!C48&gt;=入力!$I$28,子3!C48&lt;=入力!$J$28),AND(子4!C48&gt;=入力!$I$28,子4!C48&lt;=入力!$J$28)),親2!E48*(1-入力!$K$28),
IF(OR(AND(子1!C48&gt;=入力!$I$29,子1!C48&lt;=入力!$J$29),AND(子2!C48&gt;=入力!$I$29,子2!C48&lt;=入力!$J$29),AND(子3!C48&gt;=入力!$I$29,子3!C48&lt;=入力!$J$29),AND(子4!C48&gt;=入力!$I$29,子4!C48&lt;=入力!$J$29)),親2!E48*(1-入力!$K$29),0))</f>
        <v>0</v>
      </c>
      <c r="G48" s="3">
        <f>IF(C48=入力!I$22,入力!J$31,0)</f>
        <v>0</v>
      </c>
      <c r="H48" s="3">
        <f t="shared" si="24"/>
        <v>0</v>
      </c>
      <c r="I48" s="14">
        <f>IF(H48&gt;0,-年金の税金!$G$25/10000,0)</f>
        <v>0</v>
      </c>
      <c r="J48" s="24">
        <f t="shared" si="23"/>
        <v>83.954080000000005</v>
      </c>
      <c r="K48" s="5"/>
      <c r="L48" s="3"/>
      <c r="M48" s="3">
        <f t="shared" si="21"/>
        <v>35.640000000000008</v>
      </c>
      <c r="N48" s="3">
        <f t="shared" si="21"/>
        <v>13.200000000000001</v>
      </c>
      <c r="O48" s="3">
        <f t="shared" si="21"/>
        <v>3.3000000000000003</v>
      </c>
      <c r="P48" s="3">
        <f t="shared" si="21"/>
        <v>2.6400000000000006</v>
      </c>
      <c r="Q48" s="3">
        <f t="shared" si="21"/>
        <v>1.6500000000000001</v>
      </c>
      <c r="R48" s="3">
        <f>IF(OR(AND(子1!C48&gt;=0,子1!C48&lt;=18),AND(子2!C48&gt;=0,子2!C48&lt;=18),AND(子3!C48&gt;=0,子3!C48&lt;=18),AND(子4!C48&gt;=0,子4!C48&lt;=18)),入力!$I$35,入力!$I$34)*12</f>
        <v>0</v>
      </c>
      <c r="S48" s="14"/>
      <c r="T48" s="18">
        <f t="shared" si="16"/>
        <v>56.430000000000007</v>
      </c>
      <c r="U48" s="24">
        <f t="shared" si="17"/>
        <v>27.524079999999998</v>
      </c>
      <c r="V48" s="5"/>
      <c r="W48" s="3">
        <f t="shared" si="5"/>
        <v>2.4000000000000004</v>
      </c>
      <c r="X48" s="3"/>
      <c r="Y48" s="3"/>
      <c r="Z48" s="3"/>
      <c r="AA48" s="3"/>
      <c r="AB48" s="14"/>
      <c r="AC48" s="18">
        <f t="shared" si="18"/>
        <v>2.4000000000000004</v>
      </c>
      <c r="AD48" s="24">
        <f t="shared" si="19"/>
        <v>25.124079999999999</v>
      </c>
      <c r="AE48" s="5">
        <f t="shared" si="10"/>
        <v>12</v>
      </c>
      <c r="AF48" s="3"/>
      <c r="AG48" s="3"/>
      <c r="AH48" s="3"/>
      <c r="AI48" s="3"/>
      <c r="AJ48" s="14"/>
      <c r="AK48" s="18">
        <f t="shared" si="11"/>
        <v>12</v>
      </c>
      <c r="AL48" s="24">
        <f t="shared" si="8"/>
        <v>13.124079999999999</v>
      </c>
      <c r="AM48" s="24">
        <f t="shared" si="20"/>
        <v>910.67773599999987</v>
      </c>
      <c r="AQ48" s="24"/>
      <c r="AU48" s="1">
        <f>IF(D48,VLOOKUP(D48,年収と手取り!C:I,7,1),0)/9.1%</f>
        <v>106.18021978021979</v>
      </c>
    </row>
    <row r="49" spans="2:47" x14ac:dyDescent="0.25">
      <c r="B49" s="5">
        <f t="shared" si="22"/>
        <v>62</v>
      </c>
      <c r="C49" s="3">
        <f t="shared" si="14"/>
        <v>65</v>
      </c>
      <c r="D49" s="34">
        <f>IF(C49&gt;入力!$D$22,0,VLOOKUP(C49,賃金カーブ!R:Z,4,0))</f>
        <v>105.01296456352635</v>
      </c>
      <c r="E49" s="3">
        <f>VLOOKUP(D49,年収と手取り!X:Y,2,1)</f>
        <v>83.954080000000005</v>
      </c>
      <c r="F49" s="3">
        <f>-IF(OR(AND(子1!C49&gt;=入力!$I$28,子1!C49&lt;=入力!$J$28),AND(子2!C49&gt;=入力!$I$28,子2!C49&lt;=入力!$J$28),AND(子3!C49&gt;=入力!$I$28,子3!C49&lt;=入力!$J$28),AND(子4!C49&gt;=入力!$I$28,子4!C49&lt;=入力!$J$28)),親2!E49*(1-入力!$K$28),
IF(OR(AND(子1!C49&gt;=入力!$I$29,子1!C49&lt;=入力!$J$29),AND(子2!C49&gt;=入力!$I$29,子2!C49&lt;=入力!$J$29),AND(子3!C49&gt;=入力!$I$29,子3!C49&lt;=入力!$J$29),AND(子4!C49&gt;=入力!$I$29,子4!C49&lt;=入力!$J$29)),親2!E49*(1-入力!$K$29),0))</f>
        <v>0</v>
      </c>
      <c r="G49" s="3">
        <f>IF(C49=入力!I$22,入力!J$31,0)</f>
        <v>0</v>
      </c>
      <c r="H49" s="3">
        <f t="shared" si="24"/>
        <v>0</v>
      </c>
      <c r="I49" s="14">
        <f>IF(H49&gt;0,-年金の税金!$G$25/10000,0)</f>
        <v>0</v>
      </c>
      <c r="J49" s="24">
        <f t="shared" si="23"/>
        <v>83.954080000000005</v>
      </c>
      <c r="K49" s="5"/>
      <c r="L49" s="3"/>
      <c r="M49" s="3">
        <f t="shared" si="21"/>
        <v>35.640000000000008</v>
      </c>
      <c r="N49" s="3">
        <f t="shared" si="21"/>
        <v>13.200000000000001</v>
      </c>
      <c r="O49" s="3">
        <f t="shared" si="21"/>
        <v>3.3000000000000003</v>
      </c>
      <c r="P49" s="3">
        <f t="shared" si="21"/>
        <v>2.6400000000000006</v>
      </c>
      <c r="Q49" s="3">
        <f t="shared" si="21"/>
        <v>1.6500000000000001</v>
      </c>
      <c r="R49" s="3">
        <f>IF(OR(AND(子1!C49&gt;=0,子1!C49&lt;=18),AND(子2!C49&gt;=0,子2!C49&lt;=18),AND(子3!C49&gt;=0,子3!C49&lt;=18),AND(子4!C49&gt;=0,子4!C49&lt;=18)),入力!$I$35,入力!$I$34)*12</f>
        <v>0</v>
      </c>
      <c r="S49" s="14"/>
      <c r="T49" s="18">
        <f t="shared" si="16"/>
        <v>56.430000000000007</v>
      </c>
      <c r="U49" s="24">
        <f t="shared" si="17"/>
        <v>27.524079999999998</v>
      </c>
      <c r="V49" s="5"/>
      <c r="W49" s="3">
        <f t="shared" si="5"/>
        <v>2.4000000000000004</v>
      </c>
      <c r="X49" s="3"/>
      <c r="Y49" s="3"/>
      <c r="Z49" s="3"/>
      <c r="AA49" s="3"/>
      <c r="AB49" s="14"/>
      <c r="AC49" s="18">
        <f t="shared" si="18"/>
        <v>2.4000000000000004</v>
      </c>
      <c r="AD49" s="24">
        <f t="shared" si="19"/>
        <v>25.124079999999999</v>
      </c>
      <c r="AE49" s="5">
        <f t="shared" si="10"/>
        <v>12</v>
      </c>
      <c r="AF49" s="3"/>
      <c r="AG49" s="3"/>
      <c r="AH49" s="3"/>
      <c r="AI49" s="3"/>
      <c r="AJ49" s="14"/>
      <c r="AK49" s="18">
        <f t="shared" si="11"/>
        <v>12</v>
      </c>
      <c r="AL49" s="24">
        <f t="shared" si="8"/>
        <v>13.124079999999999</v>
      </c>
      <c r="AM49" s="24">
        <f t="shared" si="20"/>
        <v>923.80181599999992</v>
      </c>
      <c r="AQ49" s="24"/>
      <c r="AU49" s="1">
        <f>IF(D49,VLOOKUP(D49,年収と手取り!C:I,7,1),0)/9.1%</f>
        <v>106.18021978021979</v>
      </c>
    </row>
    <row r="50" spans="2:47" x14ac:dyDescent="0.25">
      <c r="B50" s="5">
        <f t="shared" si="22"/>
        <v>63</v>
      </c>
      <c r="C50" s="3">
        <f t="shared" si="14"/>
        <v>66</v>
      </c>
      <c r="D50" s="34">
        <f>IF(C50&gt;入力!$D$22,0,VLOOKUP(C50,賃金カーブ!R:Z,4,0))</f>
        <v>0</v>
      </c>
      <c r="E50" s="3">
        <f>VLOOKUP(D50,年収と手取り!X:Y,2,1)</f>
        <v>0</v>
      </c>
      <c r="F50" s="3">
        <f>-IF(OR(AND(子1!C50&gt;=入力!$I$28,子1!C50&lt;=入力!$J$28),AND(子2!C50&gt;=入力!$I$28,子2!C50&lt;=入力!$J$28),AND(子3!C50&gt;=入力!$I$28,子3!C50&lt;=入力!$J$28),AND(子4!C50&gt;=入力!$I$28,子4!C50&lt;=入力!$J$28)),親2!E50*(1-入力!$K$28),
IF(OR(AND(子1!C50&gt;=入力!$I$29,子1!C50&lt;=入力!$J$29),AND(子2!C50&gt;=入力!$I$29,子2!C50&lt;=入力!$J$29),AND(子3!C50&gt;=入力!$I$29,子3!C50&lt;=入力!$J$29),AND(子4!C50&gt;=入力!$I$29,子4!C50&lt;=入力!$J$29)),親2!E50*(1-入力!$K$29),0))</f>
        <v>0</v>
      </c>
      <c r="G50" s="3">
        <f>IF(C50=入力!I$22,入力!J$31,0)</f>
        <v>0</v>
      </c>
      <c r="H50" s="3">
        <f t="shared" si="24"/>
        <v>104.06978021538461</v>
      </c>
      <c r="I50" s="14">
        <f>IF(H50&gt;0,-年金の税金!$G$25/10000,0)</f>
        <v>0</v>
      </c>
      <c r="J50" s="24">
        <f t="shared" si="23"/>
        <v>104.06978021538461</v>
      </c>
      <c r="K50" s="5"/>
      <c r="L50" s="3"/>
      <c r="M50" s="3">
        <f t="shared" si="21"/>
        <v>35.640000000000008</v>
      </c>
      <c r="N50" s="3">
        <f t="shared" si="21"/>
        <v>13.200000000000001</v>
      </c>
      <c r="O50" s="3">
        <f t="shared" si="21"/>
        <v>3.3000000000000003</v>
      </c>
      <c r="P50" s="3">
        <f t="shared" si="21"/>
        <v>2.6400000000000006</v>
      </c>
      <c r="Q50" s="3">
        <f t="shared" si="21"/>
        <v>1.6500000000000001</v>
      </c>
      <c r="R50" s="3">
        <f>IF(OR(AND(子1!C50&gt;=0,子1!C50&lt;=18),AND(子2!C50&gt;=0,子2!C50&lt;=18),AND(子3!C50&gt;=0,子3!C50&lt;=18),AND(子4!C50&gt;=0,子4!C50&lt;=18)),入力!$I$35,入力!$I$34)*12</f>
        <v>0</v>
      </c>
      <c r="S50" s="14"/>
      <c r="T50" s="18">
        <f t="shared" si="16"/>
        <v>56.430000000000007</v>
      </c>
      <c r="U50" s="24">
        <f t="shared" si="17"/>
        <v>47.639780215384604</v>
      </c>
      <c r="V50" s="5"/>
      <c r="W50" s="3">
        <f t="shared" si="5"/>
        <v>2.4000000000000004</v>
      </c>
      <c r="X50" s="3"/>
      <c r="Y50" s="3"/>
      <c r="Z50" s="3"/>
      <c r="AA50" s="3"/>
      <c r="AB50" s="14"/>
      <c r="AC50" s="18">
        <f t="shared" si="18"/>
        <v>2.4000000000000004</v>
      </c>
      <c r="AD50" s="24">
        <f t="shared" si="19"/>
        <v>45.239780215384606</v>
      </c>
      <c r="AE50" s="5">
        <f t="shared" si="10"/>
        <v>12</v>
      </c>
      <c r="AF50" s="3"/>
      <c r="AG50" s="3"/>
      <c r="AH50" s="3"/>
      <c r="AI50" s="3"/>
      <c r="AJ50" s="14"/>
      <c r="AK50" s="18">
        <f t="shared" si="11"/>
        <v>12</v>
      </c>
      <c r="AL50" s="24">
        <f t="shared" si="8"/>
        <v>33.239780215384606</v>
      </c>
      <c r="AM50" s="24">
        <f t="shared" si="20"/>
        <v>957.04159621538452</v>
      </c>
      <c r="AQ50" s="24"/>
      <c r="AU50" s="1">
        <f>IF(D50,VLOOKUP(D50,年収と手取り!C:I,7,1),0)/9.1%</f>
        <v>0</v>
      </c>
    </row>
    <row r="51" spans="2:47" x14ac:dyDescent="0.25">
      <c r="B51" s="5">
        <f t="shared" si="22"/>
        <v>64</v>
      </c>
      <c r="C51" s="3">
        <f t="shared" si="14"/>
        <v>67</v>
      </c>
      <c r="D51" s="34">
        <f>IF(C51&gt;入力!$D$22,0,VLOOKUP(C51,賃金カーブ!R:Z,4,0))</f>
        <v>0</v>
      </c>
      <c r="E51" s="3">
        <f>VLOOKUP(D51,年収と手取り!X:Y,2,1)</f>
        <v>0</v>
      </c>
      <c r="F51" s="3">
        <f>-IF(OR(AND(子1!C51&gt;=入力!$I$28,子1!C51&lt;=入力!$J$28),AND(子2!C51&gt;=入力!$I$28,子2!C51&lt;=入力!$J$28),AND(子3!C51&gt;=入力!$I$28,子3!C51&lt;=入力!$J$28),AND(子4!C51&gt;=入力!$I$28,子4!C51&lt;=入力!$J$28)),親2!E51*(1-入力!$K$28),
IF(OR(AND(子1!C51&gt;=入力!$I$29,子1!C51&lt;=入力!$J$29),AND(子2!C51&gt;=入力!$I$29,子2!C51&lt;=入力!$J$29),AND(子3!C51&gt;=入力!$I$29,子3!C51&lt;=入力!$J$29),AND(子4!C51&gt;=入力!$I$29,子4!C51&lt;=入力!$J$29)),親2!E51*(1-入力!$K$29),0))</f>
        <v>0</v>
      </c>
      <c r="G51" s="3">
        <f>IF(C51=入力!I$22,入力!J$31,0)</f>
        <v>0</v>
      </c>
      <c r="H51" s="3">
        <f t="shared" si="24"/>
        <v>104.06978021538461</v>
      </c>
      <c r="I51" s="14">
        <f>IF(H51&gt;0,-年金の税金!$G$25/10000,0)</f>
        <v>0</v>
      </c>
      <c r="J51" s="24">
        <f t="shared" si="23"/>
        <v>104.06978021538461</v>
      </c>
      <c r="K51" s="5"/>
      <c r="L51" s="3"/>
      <c r="M51" s="3">
        <f t="shared" si="21"/>
        <v>35.640000000000008</v>
      </c>
      <c r="N51" s="3">
        <f t="shared" si="21"/>
        <v>13.200000000000001</v>
      </c>
      <c r="O51" s="3">
        <f t="shared" si="21"/>
        <v>3.3000000000000003</v>
      </c>
      <c r="P51" s="3">
        <f t="shared" si="21"/>
        <v>2.6400000000000006</v>
      </c>
      <c r="Q51" s="3">
        <f t="shared" si="21"/>
        <v>1.6500000000000001</v>
      </c>
      <c r="R51" s="3">
        <f>IF(OR(AND(子1!C51&gt;=0,子1!C51&lt;=18),AND(子2!C51&gt;=0,子2!C51&lt;=18),AND(子3!C51&gt;=0,子3!C51&lt;=18),AND(子4!C51&gt;=0,子4!C51&lt;=18)),入力!$I$35,入力!$I$34)*12</f>
        <v>0</v>
      </c>
      <c r="S51" s="14"/>
      <c r="T51" s="18">
        <f t="shared" si="16"/>
        <v>56.430000000000007</v>
      </c>
      <c r="U51" s="24">
        <f t="shared" si="17"/>
        <v>47.639780215384604</v>
      </c>
      <c r="V51" s="5"/>
      <c r="W51" s="3">
        <f t="shared" si="5"/>
        <v>2.4000000000000004</v>
      </c>
      <c r="X51" s="3"/>
      <c r="Y51" s="3"/>
      <c r="Z51" s="3"/>
      <c r="AA51" s="3"/>
      <c r="AB51" s="14"/>
      <c r="AC51" s="18">
        <f t="shared" si="18"/>
        <v>2.4000000000000004</v>
      </c>
      <c r="AD51" s="24">
        <f t="shared" si="19"/>
        <v>45.239780215384606</v>
      </c>
      <c r="AE51" s="5">
        <f t="shared" si="10"/>
        <v>12</v>
      </c>
      <c r="AF51" s="3"/>
      <c r="AG51" s="3"/>
      <c r="AH51" s="3"/>
      <c r="AI51" s="3"/>
      <c r="AJ51" s="14"/>
      <c r="AK51" s="18">
        <f t="shared" si="11"/>
        <v>12</v>
      </c>
      <c r="AL51" s="24">
        <f t="shared" si="8"/>
        <v>33.239780215384606</v>
      </c>
      <c r="AM51" s="24">
        <f t="shared" si="20"/>
        <v>990.28137643076911</v>
      </c>
      <c r="AQ51" s="24"/>
      <c r="AU51" s="1">
        <f>IF(D51,VLOOKUP(D51,年収と手取り!C:I,7,1),0)/9.1%</f>
        <v>0</v>
      </c>
    </row>
    <row r="52" spans="2:47" x14ac:dyDescent="0.25">
      <c r="B52" s="5">
        <f t="shared" si="22"/>
        <v>65</v>
      </c>
      <c r="C52" s="3">
        <f t="shared" si="14"/>
        <v>68</v>
      </c>
      <c r="D52" s="34">
        <f>IF(C52&gt;入力!$D$22,0,VLOOKUP(C52,賃金カーブ!R:Z,4,0))</f>
        <v>0</v>
      </c>
      <c r="E52" s="3">
        <f>VLOOKUP(D52,年収と手取り!X:Y,2,1)</f>
        <v>0</v>
      </c>
      <c r="F52" s="3">
        <f>-IF(OR(AND(子1!C52&gt;=入力!$I$28,子1!C52&lt;=入力!$J$28),AND(子2!C52&gt;=入力!$I$28,子2!C52&lt;=入力!$J$28),AND(子3!C52&gt;=入力!$I$28,子3!C52&lt;=入力!$J$28),AND(子4!C52&gt;=入力!$I$28,子4!C52&lt;=入力!$J$28)),親2!E52*(1-入力!$K$28),
IF(OR(AND(子1!C52&gt;=入力!$I$29,子1!C52&lt;=入力!$J$29),AND(子2!C52&gt;=入力!$I$29,子2!C52&lt;=入力!$J$29),AND(子3!C52&gt;=入力!$I$29,子3!C52&lt;=入力!$J$29),AND(子4!C52&gt;=入力!$I$29,子4!C52&lt;=入力!$J$29)),親2!E52*(1-入力!$K$29),0))</f>
        <v>0</v>
      </c>
      <c r="G52" s="3">
        <f>IF(C52=入力!I$22,入力!J$31,0)</f>
        <v>0</v>
      </c>
      <c r="H52" s="3">
        <f t="shared" si="24"/>
        <v>104.06978021538461</v>
      </c>
      <c r="I52" s="14">
        <f>IF(H52&gt;0,-年金の税金!$G$25/10000,0)</f>
        <v>0</v>
      </c>
      <c r="J52" s="24">
        <f t="shared" si="23"/>
        <v>104.06978021538461</v>
      </c>
      <c r="K52" s="5"/>
      <c r="L52" s="3"/>
      <c r="M52" s="3">
        <f t="shared" si="21"/>
        <v>35.640000000000008</v>
      </c>
      <c r="N52" s="3">
        <f t="shared" si="21"/>
        <v>13.200000000000001</v>
      </c>
      <c r="O52" s="3">
        <f t="shared" si="21"/>
        <v>3.3000000000000003</v>
      </c>
      <c r="P52" s="3">
        <f t="shared" si="21"/>
        <v>2.6400000000000006</v>
      </c>
      <c r="Q52" s="3">
        <f t="shared" si="21"/>
        <v>1.6500000000000001</v>
      </c>
      <c r="R52" s="3">
        <f>IF(OR(AND(子1!C52&gt;=0,子1!C52&lt;=18),AND(子2!C52&gt;=0,子2!C52&lt;=18),AND(子3!C52&gt;=0,子3!C52&lt;=18),AND(子4!C52&gt;=0,子4!C52&lt;=18)),入力!$I$35,入力!$I$34)*12</f>
        <v>0</v>
      </c>
      <c r="S52" s="14"/>
      <c r="T52" s="18">
        <f t="shared" si="16"/>
        <v>56.430000000000007</v>
      </c>
      <c r="U52" s="24">
        <f t="shared" si="17"/>
        <v>47.639780215384604</v>
      </c>
      <c r="V52" s="5"/>
      <c r="W52" s="3">
        <f t="shared" si="5"/>
        <v>2.4000000000000004</v>
      </c>
      <c r="X52" s="3"/>
      <c r="Y52" s="3"/>
      <c r="Z52" s="3"/>
      <c r="AA52" s="3"/>
      <c r="AB52" s="14"/>
      <c r="AC52" s="18">
        <f t="shared" si="18"/>
        <v>2.4000000000000004</v>
      </c>
      <c r="AD52" s="24">
        <f t="shared" si="19"/>
        <v>45.239780215384606</v>
      </c>
      <c r="AE52" s="5">
        <f t="shared" si="10"/>
        <v>12</v>
      </c>
      <c r="AF52" s="3"/>
      <c r="AG52" s="3"/>
      <c r="AH52" s="3"/>
      <c r="AI52" s="3"/>
      <c r="AJ52" s="14"/>
      <c r="AK52" s="18">
        <f t="shared" si="11"/>
        <v>12</v>
      </c>
      <c r="AL52" s="24">
        <f t="shared" si="8"/>
        <v>33.239780215384606</v>
      </c>
      <c r="AM52" s="24">
        <f t="shared" si="20"/>
        <v>1023.5211566461537</v>
      </c>
      <c r="AQ52" s="24"/>
      <c r="AU52" s="1">
        <f>IF(D52,VLOOKUP(D52,年収と手取り!C:I,7,1),0)/9.1%</f>
        <v>0</v>
      </c>
    </row>
    <row r="53" spans="2:47" x14ac:dyDescent="0.25">
      <c r="B53" s="5">
        <f t="shared" si="22"/>
        <v>66</v>
      </c>
      <c r="C53" s="3">
        <f t="shared" si="14"/>
        <v>69</v>
      </c>
      <c r="D53" s="34">
        <f>IF(C53&gt;入力!$D$22,0,VLOOKUP(C53,賃金カーブ!R:Z,4,0))</f>
        <v>0</v>
      </c>
      <c r="E53" s="3">
        <f>VLOOKUP(D53,年収と手取り!X:Y,2,1)</f>
        <v>0</v>
      </c>
      <c r="F53" s="3">
        <f>-IF(OR(AND(子1!C53&gt;=入力!$I$28,子1!C53&lt;=入力!$J$28),AND(子2!C53&gt;=入力!$I$28,子2!C53&lt;=入力!$J$28),AND(子3!C53&gt;=入力!$I$28,子3!C53&lt;=入力!$J$28),AND(子4!C53&gt;=入力!$I$28,子4!C53&lt;=入力!$J$28)),親2!E53*(1-入力!$K$28),
IF(OR(AND(子1!C53&gt;=入力!$I$29,子1!C53&lt;=入力!$J$29),AND(子2!C53&gt;=入力!$I$29,子2!C53&lt;=入力!$J$29),AND(子3!C53&gt;=入力!$I$29,子3!C53&lt;=入力!$J$29),AND(子4!C53&gt;=入力!$I$29,子4!C53&lt;=入力!$J$29)),親2!E53*(1-入力!$K$29),0))</f>
        <v>0</v>
      </c>
      <c r="G53" s="3">
        <f>IF(C53=入力!I$22,入力!J$31,0)</f>
        <v>0</v>
      </c>
      <c r="H53" s="3">
        <f t="shared" si="24"/>
        <v>104.06978021538461</v>
      </c>
      <c r="I53" s="14">
        <f>IF(H53&gt;0,-年金の税金!$G$25/10000,0)</f>
        <v>0</v>
      </c>
      <c r="J53" s="24">
        <f t="shared" si="23"/>
        <v>104.06978021538461</v>
      </c>
      <c r="K53" s="5"/>
      <c r="L53" s="3"/>
      <c r="M53" s="3">
        <f t="shared" si="21"/>
        <v>35.640000000000008</v>
      </c>
      <c r="N53" s="3">
        <f t="shared" si="21"/>
        <v>13.200000000000001</v>
      </c>
      <c r="O53" s="3">
        <f t="shared" si="21"/>
        <v>3.3000000000000003</v>
      </c>
      <c r="P53" s="3">
        <f t="shared" si="21"/>
        <v>2.6400000000000006</v>
      </c>
      <c r="Q53" s="3">
        <f t="shared" si="21"/>
        <v>1.6500000000000001</v>
      </c>
      <c r="R53" s="3">
        <f>IF(OR(AND(子1!C53&gt;=0,子1!C53&lt;=18),AND(子2!C53&gt;=0,子2!C53&lt;=18),AND(子3!C53&gt;=0,子3!C53&lt;=18),AND(子4!C53&gt;=0,子4!C53&lt;=18)),入力!$I$35,入力!$I$34)*12</f>
        <v>0</v>
      </c>
      <c r="S53" s="14"/>
      <c r="T53" s="18">
        <f t="shared" si="16"/>
        <v>56.430000000000007</v>
      </c>
      <c r="U53" s="24">
        <f t="shared" si="17"/>
        <v>47.639780215384604</v>
      </c>
      <c r="V53" s="5"/>
      <c r="W53" s="3">
        <f t="shared" si="5"/>
        <v>2.4000000000000004</v>
      </c>
      <c r="X53" s="3"/>
      <c r="Y53" s="3"/>
      <c r="Z53" s="3"/>
      <c r="AA53" s="3"/>
      <c r="AB53" s="14"/>
      <c r="AC53" s="18">
        <f t="shared" si="18"/>
        <v>2.4000000000000004</v>
      </c>
      <c r="AD53" s="24">
        <f t="shared" si="19"/>
        <v>45.239780215384606</v>
      </c>
      <c r="AE53" s="5">
        <f t="shared" si="10"/>
        <v>12</v>
      </c>
      <c r="AF53" s="3"/>
      <c r="AG53" s="3"/>
      <c r="AH53" s="3"/>
      <c r="AI53" s="3"/>
      <c r="AJ53" s="14"/>
      <c r="AK53" s="18">
        <f t="shared" si="11"/>
        <v>12</v>
      </c>
      <c r="AL53" s="24">
        <f t="shared" si="8"/>
        <v>33.239780215384606</v>
      </c>
      <c r="AM53" s="24">
        <f t="shared" si="20"/>
        <v>1056.7609368615383</v>
      </c>
      <c r="AQ53" s="24"/>
      <c r="AU53" s="1">
        <f>IF(D53,VLOOKUP(D53,年収と手取り!C:I,7,1),0)/9.1%</f>
        <v>0</v>
      </c>
    </row>
    <row r="54" spans="2:47" x14ac:dyDescent="0.25">
      <c r="B54" s="5">
        <f t="shared" si="22"/>
        <v>67</v>
      </c>
      <c r="C54" s="3">
        <f t="shared" si="14"/>
        <v>70</v>
      </c>
      <c r="D54" s="34">
        <f>IF(C54&gt;入力!$D$22,0,VLOOKUP(C54,賃金カーブ!R:Z,4,0))</f>
        <v>0</v>
      </c>
      <c r="E54" s="3">
        <f>VLOOKUP(D54,年収と手取り!X:Y,2,1)</f>
        <v>0</v>
      </c>
      <c r="F54" s="3">
        <f>-IF(OR(AND(子1!C54&gt;=入力!$I$28,子1!C54&lt;=入力!$J$28),AND(子2!C54&gt;=入力!$I$28,子2!C54&lt;=入力!$J$28),AND(子3!C54&gt;=入力!$I$28,子3!C54&lt;=入力!$J$28),AND(子4!C54&gt;=入力!$I$28,子4!C54&lt;=入力!$J$28)),親2!E54*(1-入力!$K$28),
IF(OR(AND(子1!C54&gt;=入力!$I$29,子1!C54&lt;=入力!$J$29),AND(子2!C54&gt;=入力!$I$29,子2!C54&lt;=入力!$J$29),AND(子3!C54&gt;=入力!$I$29,子3!C54&lt;=入力!$J$29),AND(子4!C54&gt;=入力!$I$29,子4!C54&lt;=入力!$J$29)),親2!E54*(1-入力!$K$29),0))</f>
        <v>0</v>
      </c>
      <c r="G54" s="3">
        <f>IF(C54=入力!I$22,入力!J$31,0)</f>
        <v>0</v>
      </c>
      <c r="H54" s="3">
        <f t="shared" si="24"/>
        <v>104.06978021538461</v>
      </c>
      <c r="I54" s="14">
        <f>IF(H54&gt;0,-年金の税金!$G$25/10000,0)</f>
        <v>0</v>
      </c>
      <c r="J54" s="24">
        <f t="shared" si="23"/>
        <v>104.06978021538461</v>
      </c>
      <c r="K54" s="5"/>
      <c r="L54" s="3"/>
      <c r="M54" s="3">
        <f t="shared" si="21"/>
        <v>35.640000000000008</v>
      </c>
      <c r="N54" s="3">
        <f t="shared" si="21"/>
        <v>13.200000000000001</v>
      </c>
      <c r="O54" s="3">
        <f t="shared" si="21"/>
        <v>3.3000000000000003</v>
      </c>
      <c r="P54" s="3">
        <f t="shared" si="21"/>
        <v>2.6400000000000006</v>
      </c>
      <c r="Q54" s="3">
        <f t="shared" si="21"/>
        <v>1.6500000000000001</v>
      </c>
      <c r="R54" s="3">
        <f>IF(OR(AND(子1!C54&gt;=0,子1!C54&lt;=18),AND(子2!C54&gt;=0,子2!C54&lt;=18),AND(子3!C54&gt;=0,子3!C54&lt;=18),AND(子4!C54&gt;=0,子4!C54&lt;=18)),入力!$I$35,入力!$I$34)*12</f>
        <v>0</v>
      </c>
      <c r="S54" s="14"/>
      <c r="T54" s="18">
        <f t="shared" si="16"/>
        <v>56.430000000000007</v>
      </c>
      <c r="U54" s="24">
        <f t="shared" si="17"/>
        <v>47.639780215384604</v>
      </c>
      <c r="V54" s="5"/>
      <c r="W54" s="3">
        <f t="shared" si="5"/>
        <v>2.4000000000000004</v>
      </c>
      <c r="X54" s="3"/>
      <c r="Y54" s="3"/>
      <c r="Z54" s="3"/>
      <c r="AA54" s="3"/>
      <c r="AB54" s="14"/>
      <c r="AC54" s="18">
        <f t="shared" si="18"/>
        <v>2.4000000000000004</v>
      </c>
      <c r="AD54" s="24">
        <f t="shared" si="19"/>
        <v>45.239780215384606</v>
      </c>
      <c r="AE54" s="5">
        <f t="shared" si="10"/>
        <v>12</v>
      </c>
      <c r="AF54" s="3"/>
      <c r="AG54" s="3"/>
      <c r="AH54" s="3"/>
      <c r="AI54" s="3"/>
      <c r="AJ54" s="14"/>
      <c r="AK54" s="18">
        <f t="shared" si="11"/>
        <v>12</v>
      </c>
      <c r="AL54" s="24">
        <f t="shared" si="8"/>
        <v>33.239780215384606</v>
      </c>
      <c r="AM54" s="24">
        <f t="shared" si="20"/>
        <v>1090.0007170769229</v>
      </c>
      <c r="AQ54" s="24"/>
      <c r="AU54" s="1">
        <f>IF(D54,VLOOKUP(D54,年収と手取り!C:I,7,1),0)/9.1%</f>
        <v>0</v>
      </c>
    </row>
    <row r="55" spans="2:47" x14ac:dyDescent="0.25">
      <c r="B55" s="5">
        <f t="shared" si="22"/>
        <v>68</v>
      </c>
      <c r="C55" s="3">
        <f t="shared" si="14"/>
        <v>71</v>
      </c>
      <c r="D55" s="34">
        <f>IF(C55&gt;入力!$D$22,0,VLOOKUP(C55,賃金カーブ!R:Z,4,0))</f>
        <v>0</v>
      </c>
      <c r="E55" s="3">
        <f>VLOOKUP(D55,年収と手取り!X:Y,2,1)</f>
        <v>0</v>
      </c>
      <c r="F55" s="3">
        <f>-IF(OR(AND(子1!C55&gt;=入力!$I$28,子1!C55&lt;=入力!$J$28),AND(子2!C55&gt;=入力!$I$28,子2!C55&lt;=入力!$J$28),AND(子3!C55&gt;=入力!$I$28,子3!C55&lt;=入力!$J$28),AND(子4!C55&gt;=入力!$I$28,子4!C55&lt;=入力!$J$28)),親2!E55*(1-入力!$K$28),
IF(OR(AND(子1!C55&gt;=入力!$I$29,子1!C55&lt;=入力!$J$29),AND(子2!C55&gt;=入力!$I$29,子2!C55&lt;=入力!$J$29),AND(子3!C55&gt;=入力!$I$29,子3!C55&lt;=入力!$J$29),AND(子4!C55&gt;=入力!$I$29,子4!C55&lt;=入力!$J$29)),親2!E55*(1-入力!$K$29),0))</f>
        <v>0</v>
      </c>
      <c r="G55" s="3">
        <f>IF(C55=入力!I$22,入力!J$31,0)</f>
        <v>0</v>
      </c>
      <c r="H55" s="3">
        <f t="shared" si="24"/>
        <v>104.06978021538461</v>
      </c>
      <c r="I55" s="14">
        <f>IF(H55&gt;0,-年金の税金!$G$25/10000,0)</f>
        <v>0</v>
      </c>
      <c r="J55" s="24">
        <f t="shared" si="23"/>
        <v>104.06978021538461</v>
      </c>
      <c r="K55" s="5"/>
      <c r="L55" s="3"/>
      <c r="M55" s="3">
        <f t="shared" ref="M55:Q70" si="25">M$1</f>
        <v>35.640000000000008</v>
      </c>
      <c r="N55" s="3">
        <f t="shared" si="25"/>
        <v>13.200000000000001</v>
      </c>
      <c r="O55" s="3">
        <f t="shared" si="25"/>
        <v>3.3000000000000003</v>
      </c>
      <c r="P55" s="3">
        <f t="shared" si="25"/>
        <v>2.6400000000000006</v>
      </c>
      <c r="Q55" s="3">
        <f t="shared" si="25"/>
        <v>1.6500000000000001</v>
      </c>
      <c r="R55" s="3">
        <f>IF(OR(AND(子1!C55&gt;=0,子1!C55&lt;=18),AND(子2!C55&gt;=0,子2!C55&lt;=18),AND(子3!C55&gt;=0,子3!C55&lt;=18),AND(子4!C55&gt;=0,子4!C55&lt;=18)),入力!$I$35,入力!$I$34)*12</f>
        <v>0</v>
      </c>
      <c r="S55" s="14"/>
      <c r="T55" s="18">
        <f t="shared" si="16"/>
        <v>56.430000000000007</v>
      </c>
      <c r="U55" s="24">
        <f t="shared" si="17"/>
        <v>47.639780215384604</v>
      </c>
      <c r="V55" s="5"/>
      <c r="W55" s="3">
        <f t="shared" si="5"/>
        <v>2.4000000000000004</v>
      </c>
      <c r="X55" s="3"/>
      <c r="Y55" s="3"/>
      <c r="Z55" s="3"/>
      <c r="AA55" s="3"/>
      <c r="AB55" s="14"/>
      <c r="AC55" s="18">
        <f t="shared" si="18"/>
        <v>2.4000000000000004</v>
      </c>
      <c r="AD55" s="24">
        <f t="shared" si="19"/>
        <v>45.239780215384606</v>
      </c>
      <c r="AE55" s="5">
        <f t="shared" si="10"/>
        <v>12</v>
      </c>
      <c r="AF55" s="3"/>
      <c r="AG55" s="3"/>
      <c r="AH55" s="3"/>
      <c r="AI55" s="3"/>
      <c r="AJ55" s="14"/>
      <c r="AK55" s="18">
        <f t="shared" si="11"/>
        <v>12</v>
      </c>
      <c r="AL55" s="24">
        <f t="shared" si="8"/>
        <v>33.239780215384606</v>
      </c>
      <c r="AM55" s="24">
        <f t="shared" si="20"/>
        <v>1123.2404972923075</v>
      </c>
      <c r="AQ55" s="24"/>
      <c r="AU55" s="1">
        <f>IF(D55,VLOOKUP(D55,年収と手取り!C:I,7,1),0)/9.1%</f>
        <v>0</v>
      </c>
    </row>
    <row r="56" spans="2:47" x14ac:dyDescent="0.25">
      <c r="B56" s="5">
        <f t="shared" si="22"/>
        <v>69</v>
      </c>
      <c r="C56" s="3">
        <f t="shared" si="14"/>
        <v>72</v>
      </c>
      <c r="D56" s="34">
        <f>IF(C56&gt;入力!$D$22,0,VLOOKUP(C56,賃金カーブ!R:Z,4,0))</f>
        <v>0</v>
      </c>
      <c r="E56" s="3">
        <f>VLOOKUP(D56,年収と手取り!X:Y,2,1)</f>
        <v>0</v>
      </c>
      <c r="F56" s="3">
        <f>-IF(OR(AND(子1!C56&gt;=入力!$I$28,子1!C56&lt;=入力!$J$28),AND(子2!C56&gt;=入力!$I$28,子2!C56&lt;=入力!$J$28),AND(子3!C56&gt;=入力!$I$28,子3!C56&lt;=入力!$J$28),AND(子4!C56&gt;=入力!$I$28,子4!C56&lt;=入力!$J$28)),親2!E56*(1-入力!$K$28),
IF(OR(AND(子1!C56&gt;=入力!$I$29,子1!C56&lt;=入力!$J$29),AND(子2!C56&gt;=入力!$I$29,子2!C56&lt;=入力!$J$29),AND(子3!C56&gt;=入力!$I$29,子3!C56&lt;=入力!$J$29),AND(子4!C56&gt;=入力!$I$29,子4!C56&lt;=入力!$J$29)),親2!E56*(1-入力!$K$29),0))</f>
        <v>0</v>
      </c>
      <c r="G56" s="3">
        <f>IF(C56=入力!I$22,入力!J$31,0)</f>
        <v>0</v>
      </c>
      <c r="H56" s="3">
        <f t="shared" si="24"/>
        <v>104.06978021538461</v>
      </c>
      <c r="I56" s="14">
        <f>IF(H56&gt;0,-年金の税金!$G$25/10000,0)</f>
        <v>0</v>
      </c>
      <c r="J56" s="24">
        <f t="shared" si="23"/>
        <v>104.06978021538461</v>
      </c>
      <c r="K56" s="5"/>
      <c r="L56" s="3"/>
      <c r="M56" s="3">
        <f t="shared" si="25"/>
        <v>35.640000000000008</v>
      </c>
      <c r="N56" s="3">
        <f t="shared" si="25"/>
        <v>13.200000000000001</v>
      </c>
      <c r="O56" s="3">
        <f t="shared" si="25"/>
        <v>3.3000000000000003</v>
      </c>
      <c r="P56" s="3">
        <f t="shared" si="25"/>
        <v>2.6400000000000006</v>
      </c>
      <c r="Q56" s="3">
        <f t="shared" si="25"/>
        <v>1.6500000000000001</v>
      </c>
      <c r="R56" s="3">
        <f>IF(OR(AND(子1!C56&gt;=0,子1!C56&lt;=18),AND(子2!C56&gt;=0,子2!C56&lt;=18),AND(子3!C56&gt;=0,子3!C56&lt;=18),AND(子4!C56&gt;=0,子4!C56&lt;=18)),入力!$I$35,入力!$I$34)*12</f>
        <v>0</v>
      </c>
      <c r="S56" s="14"/>
      <c r="T56" s="18">
        <f t="shared" si="16"/>
        <v>56.430000000000007</v>
      </c>
      <c r="U56" s="24">
        <f t="shared" si="17"/>
        <v>47.639780215384604</v>
      </c>
      <c r="V56" s="5"/>
      <c r="W56" s="3">
        <f t="shared" si="5"/>
        <v>2.4000000000000004</v>
      </c>
      <c r="X56" s="3"/>
      <c r="Y56" s="3"/>
      <c r="Z56" s="3"/>
      <c r="AA56" s="3"/>
      <c r="AB56" s="14"/>
      <c r="AC56" s="18">
        <f t="shared" si="18"/>
        <v>2.4000000000000004</v>
      </c>
      <c r="AD56" s="24">
        <f t="shared" si="19"/>
        <v>45.239780215384606</v>
      </c>
      <c r="AE56" s="5">
        <f t="shared" si="10"/>
        <v>12</v>
      </c>
      <c r="AF56" s="3"/>
      <c r="AG56" s="3"/>
      <c r="AH56" s="3"/>
      <c r="AI56" s="3"/>
      <c r="AJ56" s="14"/>
      <c r="AK56" s="18">
        <f t="shared" si="11"/>
        <v>12</v>
      </c>
      <c r="AL56" s="24">
        <f t="shared" si="8"/>
        <v>33.239780215384606</v>
      </c>
      <c r="AM56" s="24">
        <f t="shared" si="20"/>
        <v>1156.4802775076921</v>
      </c>
      <c r="AQ56" s="24"/>
      <c r="AU56" s="1">
        <f>IF(D56,VLOOKUP(D56,年収と手取り!C:I,7,1),0)/9.1%</f>
        <v>0</v>
      </c>
    </row>
    <row r="57" spans="2:47" x14ac:dyDescent="0.25">
      <c r="B57" s="5">
        <f t="shared" si="22"/>
        <v>70</v>
      </c>
      <c r="C57" s="3">
        <f t="shared" si="14"/>
        <v>73</v>
      </c>
      <c r="D57" s="34">
        <f>IF(C57&gt;入力!$D$22,0,VLOOKUP(C57,賃金カーブ!R:Z,4,0))</f>
        <v>0</v>
      </c>
      <c r="E57" s="3">
        <f>VLOOKUP(D57,年収と手取り!X:Y,2,1)</f>
        <v>0</v>
      </c>
      <c r="F57" s="3">
        <f>-IF(OR(AND(子1!C57&gt;=入力!$I$28,子1!C57&lt;=入力!$J$28),AND(子2!C57&gt;=入力!$I$28,子2!C57&lt;=入力!$J$28),AND(子3!C57&gt;=入力!$I$28,子3!C57&lt;=入力!$J$28),AND(子4!C57&gt;=入力!$I$28,子4!C57&lt;=入力!$J$28)),親2!E57*(1-入力!$K$28),
IF(OR(AND(子1!C57&gt;=入力!$I$29,子1!C57&lt;=入力!$J$29),AND(子2!C57&gt;=入力!$I$29,子2!C57&lt;=入力!$J$29),AND(子3!C57&gt;=入力!$I$29,子3!C57&lt;=入力!$J$29),AND(子4!C57&gt;=入力!$I$29,子4!C57&lt;=入力!$J$29)),親2!E57*(1-入力!$K$29),0))</f>
        <v>0</v>
      </c>
      <c r="G57" s="3">
        <f>IF(C57=入力!I$22,入力!J$31,0)</f>
        <v>0</v>
      </c>
      <c r="H57" s="3">
        <f t="shared" si="24"/>
        <v>104.06978021538461</v>
      </c>
      <c r="I57" s="14">
        <f>IF(H57&gt;0,-年金の税金!$G$25/10000,0)</f>
        <v>0</v>
      </c>
      <c r="J57" s="24">
        <f t="shared" si="23"/>
        <v>104.06978021538461</v>
      </c>
      <c r="K57" s="5"/>
      <c r="L57" s="3"/>
      <c r="M57" s="3">
        <f t="shared" si="25"/>
        <v>35.640000000000008</v>
      </c>
      <c r="N57" s="3">
        <f t="shared" si="25"/>
        <v>13.200000000000001</v>
      </c>
      <c r="O57" s="3">
        <f t="shared" si="25"/>
        <v>3.3000000000000003</v>
      </c>
      <c r="P57" s="3">
        <f t="shared" si="25"/>
        <v>2.6400000000000006</v>
      </c>
      <c r="Q57" s="3">
        <f t="shared" si="25"/>
        <v>1.6500000000000001</v>
      </c>
      <c r="R57" s="3">
        <f>IF(OR(AND(子1!C57&gt;=0,子1!C57&lt;=18),AND(子2!C57&gt;=0,子2!C57&lt;=18),AND(子3!C57&gt;=0,子3!C57&lt;=18),AND(子4!C57&gt;=0,子4!C57&lt;=18)),入力!$I$35,入力!$I$34)*12</f>
        <v>0</v>
      </c>
      <c r="S57" s="14"/>
      <c r="T57" s="18">
        <f t="shared" si="16"/>
        <v>56.430000000000007</v>
      </c>
      <c r="U57" s="24">
        <f t="shared" si="17"/>
        <v>47.639780215384604</v>
      </c>
      <c r="V57" s="5"/>
      <c r="W57" s="3">
        <f t="shared" si="5"/>
        <v>2.4000000000000004</v>
      </c>
      <c r="X57" s="3"/>
      <c r="Y57" s="3"/>
      <c r="Z57" s="3"/>
      <c r="AA57" s="3"/>
      <c r="AB57" s="14"/>
      <c r="AC57" s="18">
        <f t="shared" si="18"/>
        <v>2.4000000000000004</v>
      </c>
      <c r="AD57" s="24">
        <f t="shared" si="19"/>
        <v>45.239780215384606</v>
      </c>
      <c r="AE57" s="5">
        <f t="shared" si="10"/>
        <v>12</v>
      </c>
      <c r="AF57" s="3"/>
      <c r="AG57" s="3"/>
      <c r="AH57" s="3"/>
      <c r="AI57" s="3"/>
      <c r="AJ57" s="14"/>
      <c r="AK57" s="18">
        <f t="shared" si="11"/>
        <v>12</v>
      </c>
      <c r="AL57" s="24">
        <f t="shared" si="8"/>
        <v>33.239780215384606</v>
      </c>
      <c r="AM57" s="24">
        <f t="shared" si="20"/>
        <v>1189.7200577230767</v>
      </c>
      <c r="AQ57" s="24"/>
      <c r="AU57" s="1">
        <f>IF(D57,VLOOKUP(D57,年収と手取り!C:I,7,1),0)/9.1%</f>
        <v>0</v>
      </c>
    </row>
    <row r="58" spans="2:47" x14ac:dyDescent="0.25">
      <c r="B58" s="5">
        <f t="shared" si="22"/>
        <v>71</v>
      </c>
      <c r="C58" s="3">
        <f t="shared" si="14"/>
        <v>74</v>
      </c>
      <c r="D58" s="34">
        <f>IF(C58&gt;入力!$D$22,0,VLOOKUP(C58,賃金カーブ!R:Z,4,0))</f>
        <v>0</v>
      </c>
      <c r="E58" s="3">
        <f>VLOOKUP(D58,年収と手取り!X:Y,2,1)</f>
        <v>0</v>
      </c>
      <c r="F58" s="3">
        <f>-IF(OR(AND(子1!C58&gt;=入力!$I$28,子1!C58&lt;=入力!$J$28),AND(子2!C58&gt;=入力!$I$28,子2!C58&lt;=入力!$J$28),AND(子3!C58&gt;=入力!$I$28,子3!C58&lt;=入力!$J$28),AND(子4!C58&gt;=入力!$I$28,子4!C58&lt;=入力!$J$28)),親2!E58*(1-入力!$K$28),
IF(OR(AND(子1!C58&gt;=入力!$I$29,子1!C58&lt;=入力!$J$29),AND(子2!C58&gt;=入力!$I$29,子2!C58&lt;=入力!$J$29),AND(子3!C58&gt;=入力!$I$29,子3!C58&lt;=入力!$J$29),AND(子4!C58&gt;=入力!$I$29,子4!C58&lt;=入力!$J$29)),親2!E58*(1-入力!$K$29),0))</f>
        <v>0</v>
      </c>
      <c r="G58" s="3">
        <f>IF(C58=入力!I$22,入力!J$31,0)</f>
        <v>0</v>
      </c>
      <c r="H58" s="3">
        <f t="shared" si="24"/>
        <v>104.06978021538461</v>
      </c>
      <c r="I58" s="14">
        <f>IF(H58&gt;0,-年金の税金!$G$25/10000,0)</f>
        <v>0</v>
      </c>
      <c r="J58" s="24">
        <f t="shared" si="23"/>
        <v>104.06978021538461</v>
      </c>
      <c r="K58" s="5"/>
      <c r="L58" s="3"/>
      <c r="M58" s="3">
        <f t="shared" si="25"/>
        <v>35.640000000000008</v>
      </c>
      <c r="N58" s="3">
        <f t="shared" si="25"/>
        <v>13.200000000000001</v>
      </c>
      <c r="O58" s="3">
        <f t="shared" si="25"/>
        <v>3.3000000000000003</v>
      </c>
      <c r="P58" s="3">
        <f t="shared" si="25"/>
        <v>2.6400000000000006</v>
      </c>
      <c r="Q58" s="3">
        <f t="shared" si="25"/>
        <v>1.6500000000000001</v>
      </c>
      <c r="R58" s="3">
        <f>IF(OR(AND(子1!C58&gt;=0,子1!C58&lt;=18),AND(子2!C58&gt;=0,子2!C58&lt;=18),AND(子3!C58&gt;=0,子3!C58&lt;=18),AND(子4!C58&gt;=0,子4!C58&lt;=18)),入力!$I$35,入力!$I$34)*12</f>
        <v>0</v>
      </c>
      <c r="S58" s="14"/>
      <c r="T58" s="18">
        <f t="shared" si="16"/>
        <v>56.430000000000007</v>
      </c>
      <c r="U58" s="24">
        <f t="shared" si="17"/>
        <v>47.639780215384604</v>
      </c>
      <c r="V58" s="5"/>
      <c r="W58" s="3">
        <f t="shared" si="5"/>
        <v>2.4000000000000004</v>
      </c>
      <c r="X58" s="3"/>
      <c r="Y58" s="3"/>
      <c r="Z58" s="3"/>
      <c r="AA58" s="3"/>
      <c r="AB58" s="14"/>
      <c r="AC58" s="18">
        <f t="shared" si="18"/>
        <v>2.4000000000000004</v>
      </c>
      <c r="AD58" s="24">
        <f t="shared" si="19"/>
        <v>45.239780215384606</v>
      </c>
      <c r="AE58" s="5">
        <f t="shared" si="10"/>
        <v>12</v>
      </c>
      <c r="AF58" s="3"/>
      <c r="AG58" s="3"/>
      <c r="AH58" s="3"/>
      <c r="AI58" s="3"/>
      <c r="AJ58" s="14"/>
      <c r="AK58" s="18">
        <f t="shared" si="11"/>
        <v>12</v>
      </c>
      <c r="AL58" s="24">
        <f t="shared" si="8"/>
        <v>33.239780215384606</v>
      </c>
      <c r="AM58" s="24">
        <f t="shared" si="20"/>
        <v>1222.9598379384613</v>
      </c>
      <c r="AQ58" s="24"/>
      <c r="AU58" s="1">
        <f>IF(D58,VLOOKUP(D58,年収と手取り!C:I,7,1),0)/9.1%</f>
        <v>0</v>
      </c>
    </row>
    <row r="59" spans="2:47" x14ac:dyDescent="0.25">
      <c r="B59" s="5">
        <f t="shared" si="22"/>
        <v>72</v>
      </c>
      <c r="C59" s="3">
        <f t="shared" si="14"/>
        <v>75</v>
      </c>
      <c r="D59" s="34">
        <f>IF(C59&gt;入力!$D$22,0,VLOOKUP(C59,賃金カーブ!R:Z,4,0))</f>
        <v>0</v>
      </c>
      <c r="E59" s="3">
        <f>VLOOKUP(D59,年収と手取り!X:Y,2,1)</f>
        <v>0</v>
      </c>
      <c r="F59" s="3">
        <f>-IF(OR(AND(子1!C59&gt;=入力!$I$28,子1!C59&lt;=入力!$J$28),AND(子2!C59&gt;=入力!$I$28,子2!C59&lt;=入力!$J$28),AND(子3!C59&gt;=入力!$I$28,子3!C59&lt;=入力!$J$28),AND(子4!C59&gt;=入力!$I$28,子4!C59&lt;=入力!$J$28)),親2!E59*(1-入力!$K$28),
IF(OR(AND(子1!C59&gt;=入力!$I$29,子1!C59&lt;=入力!$J$29),AND(子2!C59&gt;=入力!$I$29,子2!C59&lt;=入力!$J$29),AND(子3!C59&gt;=入力!$I$29,子3!C59&lt;=入力!$J$29),AND(子4!C59&gt;=入力!$I$29,子4!C59&lt;=入力!$J$29)),親2!E59*(1-入力!$K$29),0))</f>
        <v>0</v>
      </c>
      <c r="G59" s="3">
        <f>IF(C59=入力!I$22,入力!J$31,0)</f>
        <v>0</v>
      </c>
      <c r="H59" s="3">
        <f t="shared" si="24"/>
        <v>104.06978021538461</v>
      </c>
      <c r="I59" s="14">
        <f>IF(H59&gt;0,-年金の税金!$G$25/10000,0)</f>
        <v>0</v>
      </c>
      <c r="J59" s="24">
        <f t="shared" si="23"/>
        <v>104.06978021538461</v>
      </c>
      <c r="K59" s="5"/>
      <c r="L59" s="3"/>
      <c r="M59" s="3">
        <f t="shared" si="25"/>
        <v>35.640000000000008</v>
      </c>
      <c r="N59" s="3">
        <f t="shared" si="25"/>
        <v>13.200000000000001</v>
      </c>
      <c r="O59" s="3">
        <f t="shared" si="25"/>
        <v>3.3000000000000003</v>
      </c>
      <c r="P59" s="3">
        <f t="shared" si="25"/>
        <v>2.6400000000000006</v>
      </c>
      <c r="Q59" s="3">
        <f t="shared" si="25"/>
        <v>1.6500000000000001</v>
      </c>
      <c r="R59" s="3">
        <f>IF(OR(AND(子1!C59&gt;=0,子1!C59&lt;=18),AND(子2!C59&gt;=0,子2!C59&lt;=18),AND(子3!C59&gt;=0,子3!C59&lt;=18),AND(子4!C59&gt;=0,子4!C59&lt;=18)),入力!$I$35,入力!$I$34)*12</f>
        <v>0</v>
      </c>
      <c r="S59" s="14"/>
      <c r="T59" s="18">
        <f t="shared" si="16"/>
        <v>56.430000000000007</v>
      </c>
      <c r="U59" s="24">
        <f t="shared" si="17"/>
        <v>47.639780215384604</v>
      </c>
      <c r="V59" s="5"/>
      <c r="W59" s="3">
        <f t="shared" si="5"/>
        <v>2.4000000000000004</v>
      </c>
      <c r="X59" s="3"/>
      <c r="Y59" s="3"/>
      <c r="Z59" s="3"/>
      <c r="AA59" s="3"/>
      <c r="AB59" s="14"/>
      <c r="AC59" s="18">
        <f t="shared" si="18"/>
        <v>2.4000000000000004</v>
      </c>
      <c r="AD59" s="24">
        <f t="shared" si="19"/>
        <v>45.239780215384606</v>
      </c>
      <c r="AE59" s="5">
        <f t="shared" si="10"/>
        <v>12</v>
      </c>
      <c r="AF59" s="3"/>
      <c r="AG59" s="3"/>
      <c r="AH59" s="3"/>
      <c r="AI59" s="3"/>
      <c r="AJ59" s="14"/>
      <c r="AK59" s="18">
        <f t="shared" si="11"/>
        <v>12</v>
      </c>
      <c r="AL59" s="24">
        <f t="shared" si="8"/>
        <v>33.239780215384606</v>
      </c>
      <c r="AM59" s="24">
        <f t="shared" si="20"/>
        <v>1256.1996181538459</v>
      </c>
      <c r="AQ59" s="24"/>
      <c r="AU59" s="1">
        <f>IF(D59,VLOOKUP(D59,年収と手取り!C:I,7,1),0)/9.1%</f>
        <v>0</v>
      </c>
    </row>
    <row r="60" spans="2:47" x14ac:dyDescent="0.25">
      <c r="B60" s="5">
        <f t="shared" si="22"/>
        <v>73</v>
      </c>
      <c r="C60" s="3">
        <f t="shared" si="14"/>
        <v>76</v>
      </c>
      <c r="D60" s="34">
        <f>IF(C60&gt;入力!$D$22,0,VLOOKUP(C60,賃金カーブ!R:Z,4,0))</f>
        <v>0</v>
      </c>
      <c r="E60" s="3">
        <f>VLOOKUP(D60,年収と手取り!X:Y,2,1)</f>
        <v>0</v>
      </c>
      <c r="F60" s="3">
        <f>-IF(OR(AND(子1!C60&gt;=入力!$I$28,子1!C60&lt;=入力!$J$28),AND(子2!C60&gt;=入力!$I$28,子2!C60&lt;=入力!$J$28),AND(子3!C60&gt;=入力!$I$28,子3!C60&lt;=入力!$J$28),AND(子4!C60&gt;=入力!$I$28,子4!C60&lt;=入力!$J$28)),親2!E60*(1-入力!$K$28),
IF(OR(AND(子1!C60&gt;=入力!$I$29,子1!C60&lt;=入力!$J$29),AND(子2!C60&gt;=入力!$I$29,子2!C60&lt;=入力!$J$29),AND(子3!C60&gt;=入力!$I$29,子3!C60&lt;=入力!$J$29),AND(子4!C60&gt;=入力!$I$29,子4!C60&lt;=入力!$J$29)),親2!E60*(1-入力!$K$29),0))</f>
        <v>0</v>
      </c>
      <c r="G60" s="3">
        <f>IF(C60=入力!I$22,入力!J$31,0)</f>
        <v>0</v>
      </c>
      <c r="H60" s="3">
        <f t="shared" si="24"/>
        <v>104.06978021538461</v>
      </c>
      <c r="I60" s="14">
        <f>IF(H60&gt;0,-年金の税金!$G$25/10000,0)</f>
        <v>0</v>
      </c>
      <c r="J60" s="24">
        <f t="shared" si="23"/>
        <v>104.06978021538461</v>
      </c>
      <c r="K60" s="5"/>
      <c r="L60" s="3"/>
      <c r="M60" s="3">
        <f t="shared" si="25"/>
        <v>35.640000000000008</v>
      </c>
      <c r="N60" s="3">
        <f t="shared" si="25"/>
        <v>13.200000000000001</v>
      </c>
      <c r="O60" s="3">
        <f t="shared" si="25"/>
        <v>3.3000000000000003</v>
      </c>
      <c r="P60" s="3">
        <f t="shared" si="25"/>
        <v>2.6400000000000006</v>
      </c>
      <c r="Q60" s="3">
        <f t="shared" si="25"/>
        <v>1.6500000000000001</v>
      </c>
      <c r="R60" s="3">
        <f>IF(OR(AND(子1!C60&gt;=0,子1!C60&lt;=18),AND(子2!C60&gt;=0,子2!C60&lt;=18),AND(子3!C60&gt;=0,子3!C60&lt;=18),AND(子4!C60&gt;=0,子4!C60&lt;=18)),入力!$I$35,入力!$I$34)*12</f>
        <v>0</v>
      </c>
      <c r="S60" s="14"/>
      <c r="T60" s="18">
        <f t="shared" si="16"/>
        <v>56.430000000000007</v>
      </c>
      <c r="U60" s="24">
        <f t="shared" si="17"/>
        <v>47.639780215384604</v>
      </c>
      <c r="V60" s="5"/>
      <c r="W60" s="3">
        <f t="shared" si="5"/>
        <v>2.4000000000000004</v>
      </c>
      <c r="X60" s="3"/>
      <c r="Y60" s="3"/>
      <c r="Z60" s="3"/>
      <c r="AA60" s="3"/>
      <c r="AB60" s="14"/>
      <c r="AC60" s="18">
        <f t="shared" si="18"/>
        <v>2.4000000000000004</v>
      </c>
      <c r="AD60" s="24">
        <f t="shared" si="19"/>
        <v>45.239780215384606</v>
      </c>
      <c r="AE60" s="5">
        <f t="shared" si="10"/>
        <v>12</v>
      </c>
      <c r="AF60" s="3"/>
      <c r="AG60" s="3"/>
      <c r="AH60" s="3"/>
      <c r="AI60" s="3"/>
      <c r="AJ60" s="14"/>
      <c r="AK60" s="18">
        <f t="shared" si="11"/>
        <v>12</v>
      </c>
      <c r="AL60" s="24">
        <f t="shared" si="8"/>
        <v>33.239780215384606</v>
      </c>
      <c r="AM60" s="24">
        <f t="shared" si="20"/>
        <v>1289.4393983692305</v>
      </c>
      <c r="AQ60" s="24"/>
      <c r="AU60" s="1">
        <f>IF(D60,VLOOKUP(D60,年収と手取り!C:I,7,1),0)/9.1%</f>
        <v>0</v>
      </c>
    </row>
    <row r="61" spans="2:47" x14ac:dyDescent="0.25">
      <c r="B61" s="5">
        <f t="shared" si="22"/>
        <v>74</v>
      </c>
      <c r="C61" s="3">
        <f t="shared" si="14"/>
        <v>77</v>
      </c>
      <c r="D61" s="34">
        <f>IF(C61&gt;入力!$D$22,0,VLOOKUP(C61,賃金カーブ!R:Z,4,0))</f>
        <v>0</v>
      </c>
      <c r="E61" s="3">
        <f>VLOOKUP(D61,年収と手取り!X:Y,2,1)</f>
        <v>0</v>
      </c>
      <c r="F61" s="3">
        <f>-IF(OR(AND(子1!C61&gt;=入力!$I$28,子1!C61&lt;=入力!$J$28),AND(子2!C61&gt;=入力!$I$28,子2!C61&lt;=入力!$J$28),AND(子3!C61&gt;=入力!$I$28,子3!C61&lt;=入力!$J$28),AND(子4!C61&gt;=入力!$I$28,子4!C61&lt;=入力!$J$28)),親2!E61*(1-入力!$K$28),
IF(OR(AND(子1!C61&gt;=入力!$I$29,子1!C61&lt;=入力!$J$29),AND(子2!C61&gt;=入力!$I$29,子2!C61&lt;=入力!$J$29),AND(子3!C61&gt;=入力!$I$29,子3!C61&lt;=入力!$J$29),AND(子4!C61&gt;=入力!$I$29,子4!C61&lt;=入力!$J$29)),親2!E61*(1-入力!$K$29),0))</f>
        <v>0</v>
      </c>
      <c r="G61" s="3">
        <f>IF(C61=入力!I$22,入力!J$31,0)</f>
        <v>0</v>
      </c>
      <c r="H61" s="3">
        <f t="shared" si="24"/>
        <v>104.06978021538461</v>
      </c>
      <c r="I61" s="14">
        <f>IF(H61&gt;0,-年金の税金!$G$25/10000,0)</f>
        <v>0</v>
      </c>
      <c r="J61" s="24">
        <f t="shared" si="23"/>
        <v>104.06978021538461</v>
      </c>
      <c r="K61" s="5"/>
      <c r="L61" s="3"/>
      <c r="M61" s="3">
        <f t="shared" si="25"/>
        <v>35.640000000000008</v>
      </c>
      <c r="N61" s="3">
        <f t="shared" si="25"/>
        <v>13.200000000000001</v>
      </c>
      <c r="O61" s="3">
        <f t="shared" si="25"/>
        <v>3.3000000000000003</v>
      </c>
      <c r="P61" s="3">
        <f t="shared" si="25"/>
        <v>2.6400000000000006</v>
      </c>
      <c r="Q61" s="3">
        <f t="shared" si="25"/>
        <v>1.6500000000000001</v>
      </c>
      <c r="R61" s="3">
        <f>IF(OR(AND(子1!C61&gt;=0,子1!C61&lt;=18),AND(子2!C61&gt;=0,子2!C61&lt;=18),AND(子3!C61&gt;=0,子3!C61&lt;=18),AND(子4!C61&gt;=0,子4!C61&lt;=18)),入力!$I$35,入力!$I$34)*12</f>
        <v>0</v>
      </c>
      <c r="S61" s="14"/>
      <c r="T61" s="18">
        <f t="shared" si="16"/>
        <v>56.430000000000007</v>
      </c>
      <c r="U61" s="24">
        <f t="shared" si="17"/>
        <v>47.639780215384604</v>
      </c>
      <c r="V61" s="5"/>
      <c r="W61" s="3">
        <f t="shared" si="5"/>
        <v>2.4000000000000004</v>
      </c>
      <c r="X61" s="3"/>
      <c r="Y61" s="3"/>
      <c r="Z61" s="3"/>
      <c r="AA61" s="3"/>
      <c r="AB61" s="14"/>
      <c r="AC61" s="18">
        <f t="shared" si="18"/>
        <v>2.4000000000000004</v>
      </c>
      <c r="AD61" s="24">
        <f t="shared" si="19"/>
        <v>45.239780215384606</v>
      </c>
      <c r="AE61" s="5">
        <f t="shared" si="10"/>
        <v>12</v>
      </c>
      <c r="AF61" s="3"/>
      <c r="AG61" s="3"/>
      <c r="AH61" s="3"/>
      <c r="AI61" s="3"/>
      <c r="AJ61" s="14"/>
      <c r="AK61" s="18">
        <f t="shared" si="11"/>
        <v>12</v>
      </c>
      <c r="AL61" s="24">
        <f t="shared" si="8"/>
        <v>33.239780215384606</v>
      </c>
      <c r="AM61" s="24">
        <f t="shared" si="20"/>
        <v>1322.6791785846151</v>
      </c>
      <c r="AQ61" s="24"/>
      <c r="AU61" s="1">
        <f>IF(D61,VLOOKUP(D61,年収と手取り!C:I,7,1),0)/9.1%</f>
        <v>0</v>
      </c>
    </row>
    <row r="62" spans="2:47" x14ac:dyDescent="0.25">
      <c r="B62" s="5">
        <f t="shared" si="22"/>
        <v>75</v>
      </c>
      <c r="C62" s="3">
        <f t="shared" si="14"/>
        <v>78</v>
      </c>
      <c r="D62" s="34">
        <f>IF(C62&gt;入力!$D$22,0,VLOOKUP(C62,賃金カーブ!R:Z,4,0))</f>
        <v>0</v>
      </c>
      <c r="E62" s="3">
        <f>VLOOKUP(D62,年収と手取り!X:Y,2,1)</f>
        <v>0</v>
      </c>
      <c r="F62" s="3">
        <f>-IF(OR(AND(子1!C62&gt;=入力!$I$28,子1!C62&lt;=入力!$J$28),AND(子2!C62&gt;=入力!$I$28,子2!C62&lt;=入力!$J$28),AND(子3!C62&gt;=入力!$I$28,子3!C62&lt;=入力!$J$28),AND(子4!C62&gt;=入力!$I$28,子4!C62&lt;=入力!$J$28)),親2!E62*(1-入力!$K$28),
IF(OR(AND(子1!C62&gt;=入力!$I$29,子1!C62&lt;=入力!$J$29),AND(子2!C62&gt;=入力!$I$29,子2!C62&lt;=入力!$J$29),AND(子3!C62&gt;=入力!$I$29,子3!C62&lt;=入力!$J$29),AND(子4!C62&gt;=入力!$I$29,子4!C62&lt;=入力!$J$29)),親2!E62*(1-入力!$K$29),0))</f>
        <v>0</v>
      </c>
      <c r="G62" s="3">
        <f>IF(C62=入力!I$22,入力!J$31,0)</f>
        <v>0</v>
      </c>
      <c r="H62" s="3">
        <f t="shared" si="24"/>
        <v>104.06978021538461</v>
      </c>
      <c r="I62" s="14">
        <f>IF(H62&gt;0,-年金の税金!$G$25/10000,0)</f>
        <v>0</v>
      </c>
      <c r="J62" s="24">
        <f t="shared" si="23"/>
        <v>104.06978021538461</v>
      </c>
      <c r="K62" s="5"/>
      <c r="L62" s="3"/>
      <c r="M62" s="3">
        <f t="shared" si="25"/>
        <v>35.640000000000008</v>
      </c>
      <c r="N62" s="3">
        <f t="shared" si="25"/>
        <v>13.200000000000001</v>
      </c>
      <c r="O62" s="3">
        <f t="shared" si="25"/>
        <v>3.3000000000000003</v>
      </c>
      <c r="P62" s="3">
        <f t="shared" si="25"/>
        <v>2.6400000000000006</v>
      </c>
      <c r="Q62" s="3">
        <f t="shared" si="25"/>
        <v>1.6500000000000001</v>
      </c>
      <c r="R62" s="3">
        <f>IF(OR(AND(子1!C62&gt;=0,子1!C62&lt;=18),AND(子2!C62&gt;=0,子2!C62&lt;=18),AND(子3!C62&gt;=0,子3!C62&lt;=18),AND(子4!C62&gt;=0,子4!C62&lt;=18)),入力!$I$35,入力!$I$34)*12</f>
        <v>0</v>
      </c>
      <c r="S62" s="14"/>
      <c r="T62" s="18">
        <f t="shared" si="16"/>
        <v>56.430000000000007</v>
      </c>
      <c r="U62" s="24">
        <f t="shared" si="17"/>
        <v>47.639780215384604</v>
      </c>
      <c r="V62" s="5"/>
      <c r="W62" s="3">
        <f t="shared" si="5"/>
        <v>2.4000000000000004</v>
      </c>
      <c r="X62" s="3"/>
      <c r="Y62" s="3"/>
      <c r="Z62" s="3"/>
      <c r="AA62" s="3"/>
      <c r="AB62" s="14"/>
      <c r="AC62" s="18">
        <f t="shared" si="18"/>
        <v>2.4000000000000004</v>
      </c>
      <c r="AD62" s="24">
        <f t="shared" si="19"/>
        <v>45.239780215384606</v>
      </c>
      <c r="AE62" s="5">
        <f t="shared" si="10"/>
        <v>12</v>
      </c>
      <c r="AF62" s="3"/>
      <c r="AG62" s="3"/>
      <c r="AH62" s="3"/>
      <c r="AI62" s="3"/>
      <c r="AJ62" s="14"/>
      <c r="AK62" s="18">
        <f t="shared" si="11"/>
        <v>12</v>
      </c>
      <c r="AL62" s="24">
        <f t="shared" si="8"/>
        <v>33.239780215384606</v>
      </c>
      <c r="AM62" s="24">
        <f t="shared" si="20"/>
        <v>1355.9189587999997</v>
      </c>
      <c r="AQ62" s="24"/>
      <c r="AU62" s="1">
        <f>IF(D62,VLOOKUP(D62,年収と手取り!C:I,7,1),0)/9.1%</f>
        <v>0</v>
      </c>
    </row>
    <row r="63" spans="2:47" x14ac:dyDescent="0.25">
      <c r="B63" s="5">
        <f t="shared" si="22"/>
        <v>76</v>
      </c>
      <c r="C63" s="3">
        <f t="shared" si="14"/>
        <v>79</v>
      </c>
      <c r="D63" s="34">
        <f>IF(C63&gt;入力!$D$22,0,VLOOKUP(C63,賃金カーブ!R:Z,4,0))</f>
        <v>0</v>
      </c>
      <c r="E63" s="3">
        <f>VLOOKUP(D63,年収と手取り!X:Y,2,1)</f>
        <v>0</v>
      </c>
      <c r="F63" s="3">
        <f>-IF(OR(AND(子1!C63&gt;=入力!$I$28,子1!C63&lt;=入力!$J$28),AND(子2!C63&gt;=入力!$I$28,子2!C63&lt;=入力!$J$28),AND(子3!C63&gt;=入力!$I$28,子3!C63&lt;=入力!$J$28),AND(子4!C63&gt;=入力!$I$28,子4!C63&lt;=入力!$J$28)),親2!E63*(1-入力!$K$28),
IF(OR(AND(子1!C63&gt;=入力!$I$29,子1!C63&lt;=入力!$J$29),AND(子2!C63&gt;=入力!$I$29,子2!C63&lt;=入力!$J$29),AND(子3!C63&gt;=入力!$I$29,子3!C63&lt;=入力!$J$29),AND(子4!C63&gt;=入力!$I$29,子4!C63&lt;=入力!$J$29)),親2!E63*(1-入力!$K$29),0))</f>
        <v>0</v>
      </c>
      <c r="G63" s="3">
        <f>IF(C63=入力!I$22,入力!J$31,0)</f>
        <v>0</v>
      </c>
      <c r="H63" s="3">
        <f t="shared" si="24"/>
        <v>104.06978021538461</v>
      </c>
      <c r="I63" s="14">
        <f>IF(H63&gt;0,-年金の税金!$G$25/10000,0)</f>
        <v>0</v>
      </c>
      <c r="J63" s="24">
        <f t="shared" si="23"/>
        <v>104.06978021538461</v>
      </c>
      <c r="K63" s="5"/>
      <c r="L63" s="3"/>
      <c r="M63" s="3">
        <f t="shared" si="25"/>
        <v>35.640000000000008</v>
      </c>
      <c r="N63" s="3">
        <f t="shared" si="25"/>
        <v>13.200000000000001</v>
      </c>
      <c r="O63" s="3">
        <f t="shared" si="25"/>
        <v>3.3000000000000003</v>
      </c>
      <c r="P63" s="3">
        <f t="shared" si="25"/>
        <v>2.6400000000000006</v>
      </c>
      <c r="Q63" s="3">
        <f t="shared" si="25"/>
        <v>1.6500000000000001</v>
      </c>
      <c r="R63" s="3">
        <f>IF(OR(AND(子1!C63&gt;=0,子1!C63&lt;=18),AND(子2!C63&gt;=0,子2!C63&lt;=18),AND(子3!C63&gt;=0,子3!C63&lt;=18),AND(子4!C63&gt;=0,子4!C63&lt;=18)),入力!$I$35,入力!$I$34)*12</f>
        <v>0</v>
      </c>
      <c r="S63" s="14"/>
      <c r="T63" s="18">
        <f t="shared" si="16"/>
        <v>56.430000000000007</v>
      </c>
      <c r="U63" s="24">
        <f t="shared" si="17"/>
        <v>47.639780215384604</v>
      </c>
      <c r="V63" s="5"/>
      <c r="W63" s="3">
        <f t="shared" si="5"/>
        <v>2.4000000000000004</v>
      </c>
      <c r="X63" s="3"/>
      <c r="Y63" s="3"/>
      <c r="Z63" s="3"/>
      <c r="AA63" s="3"/>
      <c r="AB63" s="14"/>
      <c r="AC63" s="18">
        <f t="shared" si="18"/>
        <v>2.4000000000000004</v>
      </c>
      <c r="AD63" s="24">
        <f t="shared" si="19"/>
        <v>45.239780215384606</v>
      </c>
      <c r="AE63" s="5">
        <f t="shared" si="10"/>
        <v>12</v>
      </c>
      <c r="AF63" s="3"/>
      <c r="AG63" s="3"/>
      <c r="AH63" s="3"/>
      <c r="AI63" s="3"/>
      <c r="AJ63" s="14"/>
      <c r="AK63" s="18">
        <f t="shared" si="11"/>
        <v>12</v>
      </c>
      <c r="AL63" s="24">
        <f t="shared" si="8"/>
        <v>33.239780215384606</v>
      </c>
      <c r="AM63" s="24">
        <f t="shared" si="20"/>
        <v>1389.1587390153843</v>
      </c>
      <c r="AQ63" s="24"/>
      <c r="AU63" s="1">
        <f>IF(D63,VLOOKUP(D63,年収と手取り!C:I,7,1),0)/9.1%</f>
        <v>0</v>
      </c>
    </row>
    <row r="64" spans="2:47" x14ac:dyDescent="0.25">
      <c r="B64" s="5">
        <f t="shared" si="22"/>
        <v>77</v>
      </c>
      <c r="C64" s="3">
        <f t="shared" si="14"/>
        <v>80</v>
      </c>
      <c r="D64" s="34">
        <f>IF(C64&gt;入力!$D$22,0,VLOOKUP(C64,賃金カーブ!R:Z,4,0))</f>
        <v>0</v>
      </c>
      <c r="E64" s="3">
        <f>VLOOKUP(D64,年収と手取り!X:Y,2,1)</f>
        <v>0</v>
      </c>
      <c r="F64" s="3">
        <f>-IF(OR(AND(子1!C64&gt;=入力!$I$28,子1!C64&lt;=入力!$J$28),AND(子2!C64&gt;=入力!$I$28,子2!C64&lt;=入力!$J$28),AND(子3!C64&gt;=入力!$I$28,子3!C64&lt;=入力!$J$28),AND(子4!C64&gt;=入力!$I$28,子4!C64&lt;=入力!$J$28)),親2!E64*(1-入力!$K$28),
IF(OR(AND(子1!C64&gt;=入力!$I$29,子1!C64&lt;=入力!$J$29),AND(子2!C64&gt;=入力!$I$29,子2!C64&lt;=入力!$J$29),AND(子3!C64&gt;=入力!$I$29,子3!C64&lt;=入力!$J$29),AND(子4!C64&gt;=入力!$I$29,子4!C64&lt;=入力!$J$29)),親2!E64*(1-入力!$K$29),0))</f>
        <v>0</v>
      </c>
      <c r="G64" s="3">
        <f>IF(C64=入力!I$22,入力!J$31,0)</f>
        <v>0</v>
      </c>
      <c r="H64" s="3">
        <f t="shared" si="24"/>
        <v>104.06978021538461</v>
      </c>
      <c r="I64" s="14">
        <f>IF(H64&gt;0,-年金の税金!$G$25/10000,0)</f>
        <v>0</v>
      </c>
      <c r="J64" s="24">
        <f t="shared" si="23"/>
        <v>104.06978021538461</v>
      </c>
      <c r="K64" s="5"/>
      <c r="L64" s="3"/>
      <c r="M64" s="3">
        <f t="shared" si="25"/>
        <v>35.640000000000008</v>
      </c>
      <c r="N64" s="3">
        <f t="shared" si="25"/>
        <v>13.200000000000001</v>
      </c>
      <c r="O64" s="3">
        <f t="shared" si="25"/>
        <v>3.3000000000000003</v>
      </c>
      <c r="P64" s="3">
        <f t="shared" si="25"/>
        <v>2.6400000000000006</v>
      </c>
      <c r="Q64" s="3">
        <f t="shared" si="25"/>
        <v>1.6500000000000001</v>
      </c>
      <c r="R64" s="3">
        <f>IF(OR(AND(子1!C64&gt;=0,子1!C64&lt;=18),AND(子2!C64&gt;=0,子2!C64&lt;=18),AND(子3!C64&gt;=0,子3!C64&lt;=18),AND(子4!C64&gt;=0,子4!C64&lt;=18)),入力!$I$35,入力!$I$34)*12</f>
        <v>0</v>
      </c>
      <c r="S64" s="14"/>
      <c r="T64" s="18">
        <f t="shared" si="16"/>
        <v>56.430000000000007</v>
      </c>
      <c r="U64" s="24">
        <f t="shared" si="17"/>
        <v>47.639780215384604</v>
      </c>
      <c r="V64" s="5"/>
      <c r="W64" s="3">
        <f t="shared" si="5"/>
        <v>2.4000000000000004</v>
      </c>
      <c r="X64" s="3"/>
      <c r="Y64" s="3"/>
      <c r="Z64" s="3"/>
      <c r="AA64" s="3"/>
      <c r="AB64" s="14"/>
      <c r="AC64" s="18">
        <f t="shared" si="18"/>
        <v>2.4000000000000004</v>
      </c>
      <c r="AD64" s="24">
        <f t="shared" si="19"/>
        <v>45.239780215384606</v>
      </c>
      <c r="AE64" s="5">
        <f t="shared" si="10"/>
        <v>12</v>
      </c>
      <c r="AF64" s="3"/>
      <c r="AG64" s="3"/>
      <c r="AH64" s="3"/>
      <c r="AI64" s="3"/>
      <c r="AJ64" s="14"/>
      <c r="AK64" s="18">
        <f t="shared" si="11"/>
        <v>12</v>
      </c>
      <c r="AL64" s="24">
        <f t="shared" si="8"/>
        <v>33.239780215384606</v>
      </c>
      <c r="AM64" s="24">
        <f t="shared" si="20"/>
        <v>1422.3985192307689</v>
      </c>
      <c r="AQ64" s="24"/>
      <c r="AU64" s="1">
        <f>IF(D64,VLOOKUP(D64,年収と手取り!C:I,7,1),0)/9.1%</f>
        <v>0</v>
      </c>
    </row>
    <row r="65" spans="2:49" x14ac:dyDescent="0.25">
      <c r="B65" s="5">
        <f t="shared" si="22"/>
        <v>78</v>
      </c>
      <c r="C65" s="3">
        <f t="shared" si="14"/>
        <v>81</v>
      </c>
      <c r="D65" s="34">
        <f>IF(C65&gt;入力!$D$22,0,VLOOKUP(C65,賃金カーブ!R:Z,4,0))</f>
        <v>0</v>
      </c>
      <c r="E65" s="3">
        <f>VLOOKUP(D65,年収と手取り!X:Y,2,1)</f>
        <v>0</v>
      </c>
      <c r="F65" s="3">
        <f>-IF(OR(AND(子1!C65&gt;=入力!$I$28,子1!C65&lt;=入力!$J$28),AND(子2!C65&gt;=入力!$I$28,子2!C65&lt;=入力!$J$28),AND(子3!C65&gt;=入力!$I$28,子3!C65&lt;=入力!$J$28),AND(子4!C65&gt;=入力!$I$28,子4!C65&lt;=入力!$J$28)),親2!E65*(1-入力!$K$28),
IF(OR(AND(子1!C65&gt;=入力!$I$29,子1!C65&lt;=入力!$J$29),AND(子2!C65&gt;=入力!$I$29,子2!C65&lt;=入力!$J$29),AND(子3!C65&gt;=入力!$I$29,子3!C65&lt;=入力!$J$29),AND(子4!C65&gt;=入力!$I$29,子4!C65&lt;=入力!$J$29)),親2!E65*(1-入力!$K$29),0))</f>
        <v>0</v>
      </c>
      <c r="G65" s="3">
        <f>IF(C65=入力!I$22,入力!J$31,0)</f>
        <v>0</v>
      </c>
      <c r="H65" s="3">
        <f t="shared" si="24"/>
        <v>104.06978021538461</v>
      </c>
      <c r="I65" s="14">
        <f>IF(H65&gt;0,-年金の税金!$G$25/10000,0)</f>
        <v>0</v>
      </c>
      <c r="J65" s="24">
        <f t="shared" si="23"/>
        <v>104.06978021538461</v>
      </c>
      <c r="K65" s="5"/>
      <c r="L65" s="3"/>
      <c r="M65" s="3">
        <f t="shared" si="25"/>
        <v>35.640000000000008</v>
      </c>
      <c r="N65" s="3">
        <f t="shared" si="25"/>
        <v>13.200000000000001</v>
      </c>
      <c r="O65" s="3">
        <f t="shared" si="25"/>
        <v>3.3000000000000003</v>
      </c>
      <c r="P65" s="3">
        <f t="shared" si="25"/>
        <v>2.6400000000000006</v>
      </c>
      <c r="Q65" s="3">
        <f t="shared" si="25"/>
        <v>1.6500000000000001</v>
      </c>
      <c r="R65" s="3">
        <f>IF(OR(AND(子1!C65&gt;=0,子1!C65&lt;=18),AND(子2!C65&gt;=0,子2!C65&lt;=18),AND(子3!C65&gt;=0,子3!C65&lt;=18),AND(子4!C65&gt;=0,子4!C65&lt;=18)),入力!$I$35,入力!$I$34)*12</f>
        <v>0</v>
      </c>
      <c r="S65" s="14"/>
      <c r="T65" s="18">
        <f t="shared" si="16"/>
        <v>56.430000000000007</v>
      </c>
      <c r="U65" s="24">
        <f t="shared" si="17"/>
        <v>47.639780215384604</v>
      </c>
      <c r="V65" s="5"/>
      <c r="W65" s="3">
        <f t="shared" si="5"/>
        <v>2.4000000000000004</v>
      </c>
      <c r="X65" s="3"/>
      <c r="Y65" s="3"/>
      <c r="Z65" s="3"/>
      <c r="AA65" s="3"/>
      <c r="AB65" s="14"/>
      <c r="AC65" s="18">
        <f t="shared" si="18"/>
        <v>2.4000000000000004</v>
      </c>
      <c r="AD65" s="24">
        <f t="shared" si="19"/>
        <v>45.239780215384606</v>
      </c>
      <c r="AE65" s="5">
        <f t="shared" si="10"/>
        <v>12</v>
      </c>
      <c r="AF65" s="3"/>
      <c r="AG65" s="3"/>
      <c r="AH65" s="3"/>
      <c r="AI65" s="3"/>
      <c r="AJ65" s="14"/>
      <c r="AK65" s="18">
        <f t="shared" si="11"/>
        <v>12</v>
      </c>
      <c r="AL65" s="24">
        <f t="shared" si="8"/>
        <v>33.239780215384606</v>
      </c>
      <c r="AM65" s="24">
        <f t="shared" si="20"/>
        <v>1455.6382994461535</v>
      </c>
      <c r="AQ65" s="24"/>
      <c r="AU65" s="1">
        <f>IF(D65,VLOOKUP(D65,年収と手取り!C:I,7,1),0)/9.1%</f>
        <v>0</v>
      </c>
    </row>
    <row r="66" spans="2:49" x14ac:dyDescent="0.25">
      <c r="B66" s="5">
        <f t="shared" si="22"/>
        <v>79</v>
      </c>
      <c r="C66" s="3">
        <f t="shared" si="14"/>
        <v>82</v>
      </c>
      <c r="D66" s="34">
        <f>IF(C66&gt;入力!$D$22,0,VLOOKUP(C66,賃金カーブ!R:Z,4,0))</f>
        <v>0</v>
      </c>
      <c r="E66" s="3">
        <f>VLOOKUP(D66,年収と手取り!X:Y,2,1)</f>
        <v>0</v>
      </c>
      <c r="F66" s="3">
        <f>-IF(OR(AND(子1!C66&gt;=入力!$I$28,子1!C66&lt;=入力!$J$28),AND(子2!C66&gt;=入力!$I$28,子2!C66&lt;=入力!$J$28),AND(子3!C66&gt;=入力!$I$28,子3!C66&lt;=入力!$J$28),AND(子4!C66&gt;=入力!$I$28,子4!C66&lt;=入力!$J$28)),親2!E66*(1-入力!$K$28),
IF(OR(AND(子1!C66&gt;=入力!$I$29,子1!C66&lt;=入力!$J$29),AND(子2!C66&gt;=入力!$I$29,子2!C66&lt;=入力!$J$29),AND(子3!C66&gt;=入力!$I$29,子3!C66&lt;=入力!$J$29),AND(子4!C66&gt;=入力!$I$29,子4!C66&lt;=入力!$J$29)),親2!E66*(1-入力!$K$29),0))</f>
        <v>0</v>
      </c>
      <c r="G66" s="3">
        <f>IF(C66=入力!I$22,入力!J$31,0)</f>
        <v>0</v>
      </c>
      <c r="H66" s="3">
        <f t="shared" si="24"/>
        <v>104.06978021538461</v>
      </c>
      <c r="I66" s="14">
        <f>IF(H66&gt;0,-年金の税金!$G$25/10000,0)</f>
        <v>0</v>
      </c>
      <c r="J66" s="24">
        <f t="shared" si="23"/>
        <v>104.06978021538461</v>
      </c>
      <c r="K66" s="5"/>
      <c r="L66" s="3"/>
      <c r="M66" s="3">
        <f t="shared" si="25"/>
        <v>35.640000000000008</v>
      </c>
      <c r="N66" s="3">
        <f t="shared" si="25"/>
        <v>13.200000000000001</v>
      </c>
      <c r="O66" s="3">
        <f t="shared" si="25"/>
        <v>3.3000000000000003</v>
      </c>
      <c r="P66" s="3">
        <f t="shared" si="25"/>
        <v>2.6400000000000006</v>
      </c>
      <c r="Q66" s="3">
        <f t="shared" si="25"/>
        <v>1.6500000000000001</v>
      </c>
      <c r="R66" s="3">
        <f>IF(OR(AND(子1!C66&gt;=0,子1!C66&lt;=18),AND(子2!C66&gt;=0,子2!C66&lt;=18),AND(子3!C66&gt;=0,子3!C66&lt;=18),AND(子4!C66&gt;=0,子4!C66&lt;=18)),入力!$I$35,入力!$I$34)*12</f>
        <v>0</v>
      </c>
      <c r="S66" s="14"/>
      <c r="T66" s="18">
        <f t="shared" si="16"/>
        <v>56.430000000000007</v>
      </c>
      <c r="U66" s="24">
        <f t="shared" si="17"/>
        <v>47.639780215384604</v>
      </c>
      <c r="V66" s="5"/>
      <c r="W66" s="3">
        <f t="shared" si="5"/>
        <v>2.4000000000000004</v>
      </c>
      <c r="X66" s="3"/>
      <c r="Y66" s="3"/>
      <c r="Z66" s="3"/>
      <c r="AA66" s="3"/>
      <c r="AB66" s="14"/>
      <c r="AC66" s="18">
        <f t="shared" si="18"/>
        <v>2.4000000000000004</v>
      </c>
      <c r="AD66" s="24">
        <f t="shared" si="19"/>
        <v>45.239780215384606</v>
      </c>
      <c r="AE66" s="5">
        <f t="shared" si="10"/>
        <v>12</v>
      </c>
      <c r="AF66" s="3"/>
      <c r="AG66" s="3"/>
      <c r="AH66" s="3"/>
      <c r="AI66" s="3"/>
      <c r="AJ66" s="14"/>
      <c r="AK66" s="18">
        <f t="shared" si="11"/>
        <v>12</v>
      </c>
      <c r="AL66" s="24">
        <f t="shared" si="8"/>
        <v>33.239780215384606</v>
      </c>
      <c r="AM66" s="24">
        <f t="shared" si="20"/>
        <v>1488.8780796615381</v>
      </c>
      <c r="AQ66" s="24"/>
      <c r="AU66" s="1">
        <f>IF(D66,VLOOKUP(D66,年収と手取り!C:I,7,1),0)/9.1%</f>
        <v>0</v>
      </c>
    </row>
    <row r="67" spans="2:49" x14ac:dyDescent="0.25">
      <c r="B67" s="5">
        <f t="shared" si="22"/>
        <v>80</v>
      </c>
      <c r="C67" s="3">
        <f t="shared" si="14"/>
        <v>83</v>
      </c>
      <c r="D67" s="34">
        <f>IF(C67&gt;入力!$D$22,0,VLOOKUP(C67,賃金カーブ!R:Z,4,0))</f>
        <v>0</v>
      </c>
      <c r="E67" s="3">
        <f>VLOOKUP(D67,年収と手取り!X:Y,2,1)</f>
        <v>0</v>
      </c>
      <c r="F67" s="3">
        <f>-IF(OR(AND(子1!C67&gt;=入力!$I$28,子1!C67&lt;=入力!$J$28),AND(子2!C67&gt;=入力!$I$28,子2!C67&lt;=入力!$J$28),AND(子3!C67&gt;=入力!$I$28,子3!C67&lt;=入力!$J$28),AND(子4!C67&gt;=入力!$I$28,子4!C67&lt;=入力!$J$28)),親2!E67*(1-入力!$K$28),
IF(OR(AND(子1!C67&gt;=入力!$I$29,子1!C67&lt;=入力!$J$29),AND(子2!C67&gt;=入力!$I$29,子2!C67&lt;=入力!$J$29),AND(子3!C67&gt;=入力!$I$29,子3!C67&lt;=入力!$J$29),AND(子4!C67&gt;=入力!$I$29,子4!C67&lt;=入力!$J$29)),親2!E67*(1-入力!$K$29),0))</f>
        <v>0</v>
      </c>
      <c r="G67" s="3">
        <f>IF(C67=入力!I$22,入力!J$31,0)</f>
        <v>0</v>
      </c>
      <c r="H67" s="3">
        <f t="shared" si="24"/>
        <v>104.06978021538461</v>
      </c>
      <c r="I67" s="14">
        <f>IF(H67&gt;0,-年金の税金!$G$25/10000,0)</f>
        <v>0</v>
      </c>
      <c r="J67" s="24">
        <f t="shared" si="23"/>
        <v>104.06978021538461</v>
      </c>
      <c r="K67" s="5"/>
      <c r="L67" s="3"/>
      <c r="M67" s="3">
        <f t="shared" si="25"/>
        <v>35.640000000000008</v>
      </c>
      <c r="N67" s="3">
        <f t="shared" si="25"/>
        <v>13.200000000000001</v>
      </c>
      <c r="O67" s="3">
        <f t="shared" si="25"/>
        <v>3.3000000000000003</v>
      </c>
      <c r="P67" s="3">
        <f t="shared" si="25"/>
        <v>2.6400000000000006</v>
      </c>
      <c r="Q67" s="3">
        <f t="shared" si="25"/>
        <v>1.6500000000000001</v>
      </c>
      <c r="R67" s="3">
        <f>IF(OR(AND(子1!C67&gt;=0,子1!C67&lt;=18),AND(子2!C67&gt;=0,子2!C67&lt;=18),AND(子3!C67&gt;=0,子3!C67&lt;=18),AND(子4!C67&gt;=0,子4!C67&lt;=18)),入力!$I$35,入力!$I$34)*12</f>
        <v>0</v>
      </c>
      <c r="S67" s="14"/>
      <c r="T67" s="18">
        <f t="shared" si="16"/>
        <v>56.430000000000007</v>
      </c>
      <c r="U67" s="24">
        <f t="shared" si="17"/>
        <v>47.639780215384604</v>
      </c>
      <c r="V67" s="5"/>
      <c r="W67" s="3">
        <f t="shared" si="5"/>
        <v>2.4000000000000004</v>
      </c>
      <c r="X67" s="3"/>
      <c r="Y67" s="3"/>
      <c r="Z67" s="3"/>
      <c r="AA67" s="3"/>
      <c r="AB67" s="14"/>
      <c r="AC67" s="18">
        <f t="shared" si="18"/>
        <v>2.4000000000000004</v>
      </c>
      <c r="AD67" s="24">
        <f t="shared" si="19"/>
        <v>45.239780215384606</v>
      </c>
      <c r="AE67" s="5">
        <f t="shared" si="10"/>
        <v>12</v>
      </c>
      <c r="AF67" s="3"/>
      <c r="AG67" s="3"/>
      <c r="AH67" s="3"/>
      <c r="AI67" s="3"/>
      <c r="AJ67" s="14"/>
      <c r="AK67" s="18">
        <f t="shared" si="11"/>
        <v>12</v>
      </c>
      <c r="AL67" s="24">
        <f t="shared" si="8"/>
        <v>33.239780215384606</v>
      </c>
      <c r="AM67" s="24">
        <f t="shared" si="20"/>
        <v>1522.1178598769227</v>
      </c>
      <c r="AQ67" s="24"/>
      <c r="AU67" s="1">
        <f>IF(D67,VLOOKUP(D67,年収と手取り!C:I,7,1),0)/9.1%</f>
        <v>0</v>
      </c>
    </row>
    <row r="68" spans="2:49" x14ac:dyDescent="0.25">
      <c r="B68" s="5">
        <f t="shared" si="22"/>
        <v>81</v>
      </c>
      <c r="C68" s="3">
        <f t="shared" si="14"/>
        <v>84</v>
      </c>
      <c r="D68" s="34">
        <f>IF(C68&gt;入力!$D$22,0,VLOOKUP(C68,賃金カーブ!R:Z,4,0))</f>
        <v>0</v>
      </c>
      <c r="E68" s="3">
        <f>VLOOKUP(D68,年収と手取り!X:Y,2,1)</f>
        <v>0</v>
      </c>
      <c r="F68" s="3">
        <f>-IF(OR(AND(子1!C68&gt;=入力!$I$28,子1!C68&lt;=入力!$J$28),AND(子2!C68&gt;=入力!$I$28,子2!C68&lt;=入力!$J$28),AND(子3!C68&gt;=入力!$I$28,子3!C68&lt;=入力!$J$28),AND(子4!C68&gt;=入力!$I$28,子4!C68&lt;=入力!$J$28)),親2!E68*(1-入力!$K$28),
IF(OR(AND(子1!C68&gt;=入力!$I$29,子1!C68&lt;=入力!$J$29),AND(子2!C68&gt;=入力!$I$29,子2!C68&lt;=入力!$J$29),AND(子3!C68&gt;=入力!$I$29,子3!C68&lt;=入力!$J$29),AND(子4!C68&gt;=入力!$I$29,子4!C68&lt;=入力!$J$29)),親2!E68*(1-入力!$K$29),0))</f>
        <v>0</v>
      </c>
      <c r="G68" s="3">
        <f>IF(C68=入力!I$22,入力!J$31,0)</f>
        <v>0</v>
      </c>
      <c r="H68" s="3">
        <f t="shared" si="24"/>
        <v>104.06978021538461</v>
      </c>
      <c r="I68" s="14">
        <f>IF(H68&gt;0,-年金の税金!$G$25/10000,0)</f>
        <v>0</v>
      </c>
      <c r="J68" s="24">
        <f t="shared" si="23"/>
        <v>104.06978021538461</v>
      </c>
      <c r="K68" s="5"/>
      <c r="L68" s="3"/>
      <c r="M68" s="3">
        <f t="shared" si="25"/>
        <v>35.640000000000008</v>
      </c>
      <c r="N68" s="3">
        <f t="shared" si="25"/>
        <v>13.200000000000001</v>
      </c>
      <c r="O68" s="3">
        <f t="shared" si="25"/>
        <v>3.3000000000000003</v>
      </c>
      <c r="P68" s="3">
        <f t="shared" si="25"/>
        <v>2.6400000000000006</v>
      </c>
      <c r="Q68" s="3">
        <f t="shared" si="25"/>
        <v>1.6500000000000001</v>
      </c>
      <c r="R68" s="3">
        <f>IF(OR(AND(子1!C68&gt;=0,子1!C68&lt;=18),AND(子2!C68&gt;=0,子2!C68&lt;=18),AND(子3!C68&gt;=0,子3!C68&lt;=18),AND(子4!C68&gt;=0,子4!C68&lt;=18)),入力!$I$35,入力!$I$34)*12</f>
        <v>0</v>
      </c>
      <c r="S68" s="14"/>
      <c r="T68" s="18">
        <f t="shared" si="16"/>
        <v>56.430000000000007</v>
      </c>
      <c r="U68" s="24">
        <f t="shared" si="17"/>
        <v>47.639780215384604</v>
      </c>
      <c r="V68" s="5"/>
      <c r="W68" s="3">
        <f t="shared" si="5"/>
        <v>2.4000000000000004</v>
      </c>
      <c r="X68" s="3"/>
      <c r="Y68" s="3"/>
      <c r="Z68" s="3"/>
      <c r="AA68" s="3"/>
      <c r="AB68" s="14"/>
      <c r="AC68" s="18">
        <f t="shared" si="18"/>
        <v>2.4000000000000004</v>
      </c>
      <c r="AD68" s="24">
        <f t="shared" si="19"/>
        <v>45.239780215384606</v>
      </c>
      <c r="AE68" s="5">
        <f t="shared" si="10"/>
        <v>12</v>
      </c>
      <c r="AF68" s="3"/>
      <c r="AG68" s="3"/>
      <c r="AH68" s="3"/>
      <c r="AI68" s="3"/>
      <c r="AJ68" s="14"/>
      <c r="AK68" s="18">
        <f t="shared" si="11"/>
        <v>12</v>
      </c>
      <c r="AL68" s="24">
        <f t="shared" si="8"/>
        <v>33.239780215384606</v>
      </c>
      <c r="AM68" s="24">
        <f t="shared" si="20"/>
        <v>1555.3576400923073</v>
      </c>
      <c r="AQ68" s="24"/>
      <c r="AU68" s="1">
        <f>IF(D68,VLOOKUP(D68,年収と手取り!C:I,7,1),0)/9.1%</f>
        <v>0</v>
      </c>
    </row>
    <row r="69" spans="2:49" x14ac:dyDescent="0.25">
      <c r="B69" s="5">
        <f t="shared" si="22"/>
        <v>82</v>
      </c>
      <c r="C69" s="3">
        <f t="shared" si="14"/>
        <v>85</v>
      </c>
      <c r="D69" s="34">
        <f>IF(C69&gt;入力!$D$22,0,VLOOKUP(C69,賃金カーブ!R:Z,4,0))</f>
        <v>0</v>
      </c>
      <c r="E69" s="3">
        <f>VLOOKUP(D69,年収と手取り!X:Y,2,1)</f>
        <v>0</v>
      </c>
      <c r="F69" s="3">
        <f>-IF(OR(AND(子1!C69&gt;=入力!$I$28,子1!C69&lt;=入力!$J$28),AND(子2!C69&gt;=入力!$I$28,子2!C69&lt;=入力!$J$28),AND(子3!C69&gt;=入力!$I$28,子3!C69&lt;=入力!$J$28),AND(子4!C69&gt;=入力!$I$28,子4!C69&lt;=入力!$J$28)),親2!E69*(1-入力!$K$28),
IF(OR(AND(子1!C69&gt;=入力!$I$29,子1!C69&lt;=入力!$J$29),AND(子2!C69&gt;=入力!$I$29,子2!C69&lt;=入力!$J$29),AND(子3!C69&gt;=入力!$I$29,子3!C69&lt;=入力!$J$29),AND(子4!C69&gt;=入力!$I$29,子4!C69&lt;=入力!$J$29)),親2!E69*(1-入力!$K$29),0))</f>
        <v>0</v>
      </c>
      <c r="G69" s="3">
        <f>IF(C69=入力!I$22,入力!J$31,0)</f>
        <v>0</v>
      </c>
      <c r="H69" s="3">
        <f t="shared" si="24"/>
        <v>104.06978021538461</v>
      </c>
      <c r="I69" s="14">
        <f>IF(H69&gt;0,-年金の税金!$G$25/10000,0)</f>
        <v>0</v>
      </c>
      <c r="J69" s="24">
        <f t="shared" si="23"/>
        <v>104.06978021538461</v>
      </c>
      <c r="K69" s="5"/>
      <c r="L69" s="3"/>
      <c r="M69" s="3">
        <f t="shared" si="25"/>
        <v>35.640000000000008</v>
      </c>
      <c r="N69" s="3">
        <f t="shared" si="25"/>
        <v>13.200000000000001</v>
      </c>
      <c r="O69" s="3">
        <f t="shared" si="25"/>
        <v>3.3000000000000003</v>
      </c>
      <c r="P69" s="3">
        <f t="shared" si="25"/>
        <v>2.6400000000000006</v>
      </c>
      <c r="Q69" s="3">
        <f t="shared" si="25"/>
        <v>1.6500000000000001</v>
      </c>
      <c r="R69" s="3">
        <f>IF(OR(AND(子1!C69&gt;=0,子1!C69&lt;=18),AND(子2!C69&gt;=0,子2!C69&lt;=18),AND(子3!C69&gt;=0,子3!C69&lt;=18),AND(子4!C69&gt;=0,子4!C69&lt;=18)),入力!$I$35,入力!$I$34)*12</f>
        <v>0</v>
      </c>
      <c r="S69" s="14"/>
      <c r="T69" s="18">
        <f t="shared" si="16"/>
        <v>56.430000000000007</v>
      </c>
      <c r="U69" s="24">
        <f t="shared" si="17"/>
        <v>47.639780215384604</v>
      </c>
      <c r="V69" s="5"/>
      <c r="W69" s="3">
        <f t="shared" si="5"/>
        <v>2.4000000000000004</v>
      </c>
      <c r="X69" s="3"/>
      <c r="Y69" s="3"/>
      <c r="Z69" s="3"/>
      <c r="AA69" s="3"/>
      <c r="AB69" s="3"/>
      <c r="AC69" s="27">
        <f t="shared" si="18"/>
        <v>2.4000000000000004</v>
      </c>
      <c r="AD69" s="24">
        <f t="shared" si="19"/>
        <v>45.239780215384606</v>
      </c>
      <c r="AE69" s="5">
        <f t="shared" si="10"/>
        <v>12</v>
      </c>
      <c r="AF69" s="3"/>
      <c r="AG69" s="3"/>
      <c r="AH69" s="3"/>
      <c r="AI69" s="3"/>
      <c r="AJ69" s="14"/>
      <c r="AK69" s="18">
        <f t="shared" si="11"/>
        <v>12</v>
      </c>
      <c r="AL69" s="24">
        <f t="shared" si="8"/>
        <v>33.239780215384606</v>
      </c>
      <c r="AM69" s="24">
        <f t="shared" si="20"/>
        <v>1588.5974203076919</v>
      </c>
      <c r="AQ69" s="24"/>
      <c r="AU69" s="1">
        <f>IF(D69,VLOOKUP(D69,年収と手取り!C:I,7,1),0)/9.1%</f>
        <v>0</v>
      </c>
    </row>
    <row r="70" spans="2:49" ht="15" thickBot="1" x14ac:dyDescent="0.3">
      <c r="B70" s="5">
        <f t="shared" si="22"/>
        <v>83</v>
      </c>
      <c r="C70" s="3">
        <f t="shared" si="14"/>
        <v>86</v>
      </c>
      <c r="D70" s="34">
        <f>IF(C70&gt;入力!$D$22,0,VLOOKUP(C70,賃金カーブ!R:Z,4,0))</f>
        <v>0</v>
      </c>
      <c r="E70" s="3">
        <f>VLOOKUP(D70,年収と手取り!X:Y,2,1)</f>
        <v>0</v>
      </c>
      <c r="F70" s="3">
        <f>-IF(OR(AND(子1!C70&gt;=入力!$I$28,子1!C70&lt;=入力!$J$28),AND(子2!C70&gt;=入力!$I$28,子2!C70&lt;=入力!$J$28),AND(子3!C70&gt;=入力!$I$28,子3!C70&lt;=入力!$J$28),AND(子4!C70&gt;=入力!$I$28,子4!C70&lt;=入力!$J$28)),親2!E70*(1-入力!$K$28),
IF(OR(AND(子1!C70&gt;=入力!$I$29,子1!C70&lt;=入力!$J$29),AND(子2!C70&gt;=入力!$I$29,子2!C70&lt;=入力!$J$29),AND(子3!C70&gt;=入力!$I$29,子3!C70&lt;=入力!$J$29),AND(子4!C70&gt;=入力!$I$29,子4!C70&lt;=入力!$J$29)),親2!E70*(1-入力!$K$29),0))</f>
        <v>0</v>
      </c>
      <c r="G70" s="3">
        <f>IF(C70=入力!I$22,入力!J$31,0)</f>
        <v>0</v>
      </c>
      <c r="H70" s="3">
        <f t="shared" si="24"/>
        <v>104.06978021538461</v>
      </c>
      <c r="I70" s="14">
        <f>IF(H70&gt;0,-年金の税金!$G$25/10000,0)</f>
        <v>0</v>
      </c>
      <c r="J70" s="24">
        <f t="shared" si="23"/>
        <v>104.06978021538461</v>
      </c>
      <c r="K70" s="5"/>
      <c r="L70" s="3"/>
      <c r="M70" s="3">
        <f t="shared" si="25"/>
        <v>35.640000000000008</v>
      </c>
      <c r="N70" s="3">
        <f t="shared" si="25"/>
        <v>13.200000000000001</v>
      </c>
      <c r="O70" s="3">
        <f t="shared" si="25"/>
        <v>3.3000000000000003</v>
      </c>
      <c r="P70" s="3">
        <f t="shared" si="25"/>
        <v>2.6400000000000006</v>
      </c>
      <c r="Q70" s="3">
        <f t="shared" si="25"/>
        <v>1.6500000000000001</v>
      </c>
      <c r="R70" s="3">
        <f>IF(OR(AND(子1!C70&gt;=0,子1!C70&lt;=18),AND(子2!C70&gt;=0,子2!C70&lt;=18),AND(子3!C70&gt;=0,子3!C70&lt;=18),AND(子4!C70&gt;=0,子4!C70&lt;=18)),入力!$I$35,入力!$I$34)*12</f>
        <v>0</v>
      </c>
      <c r="S70" s="14"/>
      <c r="T70" s="18">
        <f t="shared" ref="T70" si="26">SUM(K70:S70)</f>
        <v>56.430000000000007</v>
      </c>
      <c r="U70" s="24">
        <f t="shared" ref="U70" si="27">J70-T70</f>
        <v>47.639780215384604</v>
      </c>
      <c r="V70" s="5"/>
      <c r="W70" s="3">
        <f t="shared" ref="W70" si="28">W$1</f>
        <v>2.4000000000000004</v>
      </c>
      <c r="X70" s="3"/>
      <c r="Y70" s="3"/>
      <c r="Z70" s="3"/>
      <c r="AA70" s="3"/>
      <c r="AB70" s="3"/>
      <c r="AC70" s="27">
        <f t="shared" ref="AC70" si="29">SUM(V70:AB70)</f>
        <v>2.4000000000000004</v>
      </c>
      <c r="AD70" s="24">
        <f t="shared" ref="AD70" si="30">U70-AC70</f>
        <v>45.239780215384606</v>
      </c>
      <c r="AE70" s="5">
        <f t="shared" si="10"/>
        <v>12</v>
      </c>
      <c r="AF70" s="3"/>
      <c r="AG70" s="3"/>
      <c r="AH70" s="3"/>
      <c r="AI70" s="3"/>
      <c r="AJ70" s="14"/>
      <c r="AK70" s="18">
        <f t="shared" si="11"/>
        <v>12</v>
      </c>
      <c r="AL70" s="24">
        <f t="shared" ref="AL70" si="31">AD70-AK70</f>
        <v>33.239780215384606</v>
      </c>
      <c r="AM70" s="25">
        <f t="shared" ref="AM70" si="32">AL70+AM69</f>
        <v>1621.8372005230765</v>
      </c>
      <c r="AQ70" s="24"/>
      <c r="AU70" s="1">
        <f>IF(D70,VLOOKUP(D70,年収と手取り!C:I,7,1),0)/9.1%</f>
        <v>0</v>
      </c>
    </row>
    <row r="71" spans="2:49" ht="15" thickTop="1" x14ac:dyDescent="0.25">
      <c r="B71" s="35"/>
      <c r="C71" s="2"/>
      <c r="D71" s="36">
        <f t="shared" ref="D71:R71" si="33">SUM(D6:D70)</f>
        <v>5390.7882066899892</v>
      </c>
      <c r="E71" s="2">
        <f t="shared" si="33"/>
        <v>4405.3555320000014</v>
      </c>
      <c r="F71" s="2">
        <f t="shared" si="33"/>
        <v>-365.03371600000008</v>
      </c>
      <c r="G71" s="2"/>
      <c r="H71" s="2">
        <f t="shared" si="33"/>
        <v>2185.465384523076</v>
      </c>
      <c r="I71" s="37">
        <f t="shared" si="33"/>
        <v>0</v>
      </c>
      <c r="J71" s="38">
        <f t="shared" si="33"/>
        <v>6225.7872005230747</v>
      </c>
      <c r="K71" s="35">
        <f t="shared" si="33"/>
        <v>0</v>
      </c>
      <c r="L71" s="2">
        <f t="shared" si="33"/>
        <v>0</v>
      </c>
      <c r="M71" s="2">
        <f t="shared" si="33"/>
        <v>2316.6000000000017</v>
      </c>
      <c r="N71" s="2">
        <f t="shared" si="33"/>
        <v>858.00000000000091</v>
      </c>
      <c r="O71" s="2">
        <f t="shared" si="33"/>
        <v>214.50000000000023</v>
      </c>
      <c r="P71" s="2">
        <f t="shared" si="33"/>
        <v>171.5999999999998</v>
      </c>
      <c r="Q71" s="2">
        <f t="shared" si="33"/>
        <v>107.25000000000011</v>
      </c>
      <c r="R71" s="2">
        <f t="shared" si="33"/>
        <v>0</v>
      </c>
      <c r="S71" s="2">
        <f t="shared" ref="S71:AK71" si="34">SUM(S6:S70)</f>
        <v>0</v>
      </c>
      <c r="T71" s="39">
        <f t="shared" si="34"/>
        <v>3667.9499999999971</v>
      </c>
      <c r="U71" s="38">
        <f t="shared" si="34"/>
        <v>2557.8372005230772</v>
      </c>
      <c r="V71" s="2">
        <f t="shared" si="34"/>
        <v>0</v>
      </c>
      <c r="W71" s="2">
        <f t="shared" si="34"/>
        <v>156.0000000000002</v>
      </c>
      <c r="X71" s="2">
        <f t="shared" si="34"/>
        <v>0</v>
      </c>
      <c r="Y71" s="2">
        <f t="shared" si="34"/>
        <v>0</v>
      </c>
      <c r="Z71" s="2">
        <f t="shared" si="34"/>
        <v>0</v>
      </c>
      <c r="AA71" s="2">
        <f t="shared" si="34"/>
        <v>0</v>
      </c>
      <c r="AB71" s="2">
        <f t="shared" si="34"/>
        <v>0</v>
      </c>
      <c r="AC71" s="39">
        <f t="shared" si="34"/>
        <v>156.0000000000002</v>
      </c>
      <c r="AD71" s="38">
        <f t="shared" si="34"/>
        <v>2401.8372005230767</v>
      </c>
      <c r="AE71" s="35">
        <f t="shared" si="34"/>
        <v>780</v>
      </c>
      <c r="AF71" s="2">
        <f t="shared" si="34"/>
        <v>0</v>
      </c>
      <c r="AG71" s="2">
        <f t="shared" si="34"/>
        <v>0</v>
      </c>
      <c r="AH71" s="2">
        <f t="shared" si="34"/>
        <v>0</v>
      </c>
      <c r="AI71" s="2">
        <f t="shared" si="34"/>
        <v>0</v>
      </c>
      <c r="AJ71" s="37">
        <f t="shared" si="34"/>
        <v>0</v>
      </c>
      <c r="AK71" s="40">
        <f t="shared" si="34"/>
        <v>780</v>
      </c>
      <c r="AL71" s="38">
        <f>SUM(AL5:AL70)</f>
        <v>1621.8372005230765</v>
      </c>
      <c r="AM71"/>
      <c r="AQ71" s="38"/>
      <c r="AU71" s="1">
        <f>AVERAGEIF(AU6:AU70,"&gt;0")</f>
        <v>125.16818970503181</v>
      </c>
      <c r="AV71">
        <f>COUNTIF(AU6:AU70,"&gt;0")</f>
        <v>38</v>
      </c>
      <c r="AW71" s="140">
        <f>AU71*AV71</f>
        <v>4756.3912087912086</v>
      </c>
    </row>
    <row r="72" spans="2:49" x14ac:dyDescent="0.25">
      <c r="AM72"/>
      <c r="AQ72" s="38"/>
      <c r="AU72" s="1">
        <f>AU6*2/3</f>
        <v>0</v>
      </c>
      <c r="AV72" s="140">
        <f>C6-22</f>
        <v>0</v>
      </c>
      <c r="AW72">
        <f>AU72*AV72</f>
        <v>0</v>
      </c>
    </row>
    <row r="73" spans="2:49" x14ac:dyDescent="0.25">
      <c r="AM73"/>
      <c r="AQ73" s="38"/>
      <c r="AW73" s="140">
        <f>SUM(AW71:AW72)/SUM(AV71:AV72)/12</f>
        <v>10.430682475419317</v>
      </c>
    </row>
    <row r="74" spans="2:49" x14ac:dyDescent="0.25">
      <c r="AM74"/>
      <c r="AQ74" s="38"/>
      <c r="AW74">
        <f>AW73*0.005481*SUM(AV71:AV72)</f>
        <v>2.1724816846153847</v>
      </c>
    </row>
    <row r="75" spans="2:49" x14ac:dyDescent="0.25">
      <c r="AQ75" s="38"/>
    </row>
    <row r="76" spans="2:49" x14ac:dyDescent="0.25">
      <c r="AQ76" s="38"/>
    </row>
    <row r="77" spans="2:49" x14ac:dyDescent="0.25">
      <c r="AQ77" s="38"/>
    </row>
    <row r="78" spans="2:49" x14ac:dyDescent="0.25">
      <c r="AQ78" s="38"/>
    </row>
    <row r="79" spans="2:49" x14ac:dyDescent="0.25">
      <c r="AQ79" s="38"/>
    </row>
  </sheetData>
  <phoneticPr fontId="2"/>
  <pageMargins left="0.7" right="0.7" top="0.75" bottom="0.75" header="0.3" footer="0.3"/>
  <pageSetup paperSize="8"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00"/>
  </sheetPr>
  <dimension ref="B1:AY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Y31" sqref="Y31"/>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bestFit="1" customWidth="1"/>
    <col min="11" max="11" width="6.25" style="1" bestFit="1" customWidth="1"/>
    <col min="12" max="12" width="5.125" style="1" bestFit="1" customWidth="1"/>
    <col min="13" max="13" width="6.25" style="1" customWidth="1"/>
    <col min="14"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2" width="5.125" style="1" bestFit="1" customWidth="1"/>
    <col min="23" max="23" width="6.25" style="1" bestFit="1" customWidth="1"/>
    <col min="24" max="24" width="7.375" style="1" customWidth="1"/>
    <col min="25" max="25" width="6.25" style="1" bestFit="1" customWidth="1"/>
    <col min="26" max="26" width="5.125" style="1" bestFit="1" customWidth="1"/>
    <col min="27" max="27" width="4.875" style="1" bestFit="1" customWidth="1"/>
    <col min="28"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s>
  <sheetData>
    <row r="1" spans="2:51" x14ac:dyDescent="0.25">
      <c r="M1" s="3">
        <f>IF($C$30&gt;0,入力!AD13*12*(1+入力!$AD$16),0)</f>
        <v>17.820000000000004</v>
      </c>
      <c r="N1" s="3">
        <f>IF($C$30&gt;0,入力!AE13*12*(1+入力!$AD$16),0)</f>
        <v>6.6000000000000005</v>
      </c>
      <c r="O1" s="3">
        <f>IF($C$30&gt;0,入力!AF13*12*(1+入力!$AD$16),0)</f>
        <v>1.6500000000000001</v>
      </c>
      <c r="P1" s="3">
        <f>IF($C$30&gt;0,入力!AG13*12*(1+入力!$AD$16),0)</f>
        <v>1.3200000000000003</v>
      </c>
      <c r="Q1" s="3">
        <f>IF($C$30&gt;0,入力!AH13*12*(1+入力!$AD$16),0)</f>
        <v>0.82500000000000007</v>
      </c>
      <c r="W1" s="3">
        <f>IF($C$30&gt;0,入力!AJ13*12,0)</f>
        <v>2.4000000000000004</v>
      </c>
      <c r="AE1" s="1">
        <f>入力!P35*12</f>
        <v>6</v>
      </c>
    </row>
    <row r="2" spans="2:51"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2:51"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2:51"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t="s">
        <v>444</v>
      </c>
      <c r="AB4" s="68"/>
      <c r="AC4" s="69"/>
      <c r="AD4" s="65"/>
      <c r="AE4" s="11" t="s">
        <v>162</v>
      </c>
      <c r="AF4" s="12" t="s">
        <v>29</v>
      </c>
      <c r="AG4" s="12" t="s">
        <v>30</v>
      </c>
      <c r="AH4" s="12" t="s">
        <v>31</v>
      </c>
      <c r="AI4" s="12" t="s">
        <v>214</v>
      </c>
      <c r="AJ4" s="13" t="s">
        <v>274</v>
      </c>
      <c r="AK4" s="17" t="s">
        <v>35</v>
      </c>
      <c r="AL4" s="23"/>
      <c r="AM4" s="23"/>
    </row>
    <row r="5" spans="2:51"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2:51" x14ac:dyDescent="0.25">
      <c r="B6" s="5">
        <v>19</v>
      </c>
      <c r="C6" s="3">
        <f>IF(入力!$P$11="",-100,入力!$P$11)</f>
        <v>-4</v>
      </c>
      <c r="D6" s="34"/>
      <c r="E6" s="3">
        <f>IF(親1!D6&lt;=833.3+42*親1!AS6,IF(AND(C6&gt;=0,C6&lt;=3),1.5*12,IF(AND(C6&gt;3,C6&lt;=15),1*12,0)),IF(AND(C6&gt;=0,C6&lt;=15),0.5*12,0))</f>
        <v>0</v>
      </c>
      <c r="F6" s="3"/>
      <c r="G6" s="3"/>
      <c r="H6" s="3"/>
      <c r="I6" s="14"/>
      <c r="J6" s="24">
        <f t="shared" ref="J6:J39" si="0">SUM(E6:I6)</f>
        <v>0</v>
      </c>
      <c r="K6" s="5"/>
      <c r="L6" s="3"/>
      <c r="M6" s="3">
        <f>IF(AND($C6&gt;=0,$C6&lt;=入力!$P$38),M$1,0)</f>
        <v>0</v>
      </c>
      <c r="N6" s="3">
        <f>IF(AND($C6&gt;=0,$C6&lt;=入力!$P$38),N$1,0)</f>
        <v>0</v>
      </c>
      <c r="O6" s="3">
        <f>IF(AND($C6&gt;=0,$C6&lt;=入力!$P$38),O$1,0)</f>
        <v>0</v>
      </c>
      <c r="P6" s="3">
        <f>IF(AND($C6&gt;=0,$C6&lt;=入力!$P$38),P$1,0)</f>
        <v>0</v>
      </c>
      <c r="Q6" s="3">
        <f>IF(AND($C6&gt;=0,$C6&lt;=入力!$P$38),Q$1,0)</f>
        <v>0</v>
      </c>
      <c r="R6" s="3"/>
      <c r="S6" s="14"/>
      <c r="T6" s="18">
        <f t="shared" ref="T6:T37" si="1">SUM(K6:S6)</f>
        <v>0</v>
      </c>
      <c r="U6" s="24">
        <f t="shared" ref="U6:U37" si="2">J6-T6</f>
        <v>0</v>
      </c>
      <c r="V6" s="5"/>
      <c r="W6" s="3">
        <f>IF(AND($C6&gt;=10,$C6&lt;=入力!$P$38),W$1,0)</f>
        <v>0</v>
      </c>
      <c r="X6" s="3">
        <f>IFERROR(VLOOKUP($C6,学費計算!$C:$R,学費計算!D$1,0),0)</f>
        <v>0</v>
      </c>
      <c r="Y6" s="3">
        <f>IFERROR(VLOOKUP($C6,学費計算!$C:$R,学費計算!E$1,0),0)</f>
        <v>0</v>
      </c>
      <c r="Z6" s="3">
        <f>IFERROR(VLOOKUP($C6,学費計算!$C:$R,学費計算!F$1,0),0)</f>
        <v>0</v>
      </c>
      <c r="AA6" s="3">
        <f>IFERROR(VLOOKUP($C6,学費計算!$C:$R,学費計算!G$1,0),0)</f>
        <v>0</v>
      </c>
      <c r="AB6" s="14"/>
      <c r="AC6" s="18">
        <f t="shared" ref="AC6:AC37" si="3">SUM(V6:AB6)</f>
        <v>0</v>
      </c>
      <c r="AD6" s="24">
        <f t="shared" ref="AD6:AD37" si="4">U6-AC6</f>
        <v>0</v>
      </c>
      <c r="AE6" s="5">
        <f>IF(AND($C6&gt;=0,$C6&lt;=入力!$P$36),AE$1,0)</f>
        <v>0</v>
      </c>
      <c r="AF6" s="3"/>
      <c r="AG6" s="3"/>
      <c r="AH6" s="3"/>
      <c r="AI6" s="3"/>
      <c r="AJ6" s="14"/>
      <c r="AK6" s="18">
        <f>SUM(AE6:AJ6)</f>
        <v>0</v>
      </c>
      <c r="AL6" s="24">
        <f t="shared" ref="AL6:AL69" si="5">AD6-AK6</f>
        <v>0</v>
      </c>
      <c r="AM6" s="24">
        <f t="shared" ref="AM6:AM37" si="6">AL6+AM5</f>
        <v>0</v>
      </c>
    </row>
    <row r="7" spans="2:51" x14ac:dyDescent="0.25">
      <c r="B7" s="5">
        <f>B6+1</f>
        <v>20</v>
      </c>
      <c r="C7" s="3">
        <f>C6+1</f>
        <v>-3</v>
      </c>
      <c r="D7" s="34"/>
      <c r="E7" s="3">
        <f>IF(親1!D7&lt;=833.3+42*親1!AS7,IF(AND(C7&gt;=0,C7&lt;=3),1.5*12,IF(AND(C7&gt;3,C7&lt;=15),1*12,0)),IF(AND(C7&gt;=0,C7&lt;=15),0.5*12,0))</f>
        <v>0</v>
      </c>
      <c r="F7" s="3"/>
      <c r="G7" s="3"/>
      <c r="H7" s="3"/>
      <c r="I7" s="14"/>
      <c r="J7" s="24">
        <f t="shared" si="0"/>
        <v>0</v>
      </c>
      <c r="K7" s="5"/>
      <c r="L7" s="3"/>
      <c r="M7" s="3">
        <f>IF(AND($C7&gt;=0,$C7&lt;=入力!$P$38),M$1,0)</f>
        <v>0</v>
      </c>
      <c r="N7" s="3">
        <f>IF(AND($C7&gt;=0,$C7&lt;=入力!$P$38),N$1,0)</f>
        <v>0</v>
      </c>
      <c r="O7" s="3">
        <f>IF(AND($C7&gt;=0,$C7&lt;=入力!$P$38),O$1,0)</f>
        <v>0</v>
      </c>
      <c r="P7" s="3">
        <f>IF(AND($C7&gt;=0,$C7&lt;=入力!$P$38),P$1,0)</f>
        <v>0</v>
      </c>
      <c r="Q7" s="3">
        <f>IF(AND($C7&gt;=0,$C7&lt;=入力!$P$38),Q$1,0)</f>
        <v>0</v>
      </c>
      <c r="R7" s="3"/>
      <c r="S7" s="14"/>
      <c r="T7" s="18">
        <f t="shared" si="1"/>
        <v>0</v>
      </c>
      <c r="U7" s="24">
        <f t="shared" si="2"/>
        <v>0</v>
      </c>
      <c r="V7" s="5"/>
      <c r="W7" s="3">
        <f>IF(AND($C7&gt;=10,$C7&lt;=入力!$P$38),W$1,0)</f>
        <v>0</v>
      </c>
      <c r="X7" s="3">
        <f>IFERROR(VLOOKUP($C7,学費計算!$C:$R,学費計算!D$1,0),0)</f>
        <v>0</v>
      </c>
      <c r="Y7" s="3">
        <f>IFERROR(VLOOKUP($C7,学費計算!$C:$R,学費計算!E$1,0),0)</f>
        <v>0</v>
      </c>
      <c r="Z7" s="3">
        <f>IFERROR(VLOOKUP($C7,学費計算!$C:$R,学費計算!F$1,0),0)</f>
        <v>0</v>
      </c>
      <c r="AA7" s="3">
        <f>IFERROR(VLOOKUP($C7,学費計算!$C:$R,学費計算!G$1,0),0)</f>
        <v>0</v>
      </c>
      <c r="AB7" s="14"/>
      <c r="AC7" s="18">
        <f t="shared" si="3"/>
        <v>0</v>
      </c>
      <c r="AD7" s="24">
        <f t="shared" si="4"/>
        <v>0</v>
      </c>
      <c r="AE7" s="5">
        <f>IF(AND($C7&gt;=0,$C7&lt;=入力!$P$36),AE$1,0)</f>
        <v>0</v>
      </c>
      <c r="AF7" s="3"/>
      <c r="AG7" s="3"/>
      <c r="AH7" s="3"/>
      <c r="AI7" s="3"/>
      <c r="AJ7" s="14"/>
      <c r="AK7" s="18">
        <f t="shared" ref="AK7:AK70" si="7">SUM(AE7:AJ7)</f>
        <v>0</v>
      </c>
      <c r="AL7" s="24">
        <f t="shared" si="5"/>
        <v>0</v>
      </c>
      <c r="AM7" s="24">
        <f t="shared" si="6"/>
        <v>0</v>
      </c>
      <c r="AP7" t="s">
        <v>492</v>
      </c>
      <c r="AQ7" t="s">
        <v>493</v>
      </c>
      <c r="AR7" t="s">
        <v>494</v>
      </c>
      <c r="AY7" t="str">
        <f>IF($AH7&gt;0,"車","")&amp;IF($AF7&gt;0,"リフォーム","")&amp;IF(子1!C6=18,"大学入学","")&amp;IF(子2!C6=18,"大学入学","")&amp;IF(子3!C6=18,"大学入学","")&amp;IF(子4!C6=18,"大学入学","")</f>
        <v/>
      </c>
    </row>
    <row r="8" spans="2:51" x14ac:dyDescent="0.25">
      <c r="B8" s="5">
        <f t="shared" ref="B8:B39" si="8">B7+1</f>
        <v>21</v>
      </c>
      <c r="C8" s="3">
        <f t="shared" ref="C8:C70" si="9">C7+1</f>
        <v>-2</v>
      </c>
      <c r="D8" s="34"/>
      <c r="E8" s="3">
        <f>IF(親1!D8&lt;=833.3+42*親1!AS8,IF(AND(C8&gt;=0,C8&lt;=3),1.5*12,IF(AND(C8&gt;3,C8&lt;=15),1*12,0)),IF(AND(C8&gt;=0,C8&lt;=15),0.5*12,0))</f>
        <v>0</v>
      </c>
      <c r="F8" s="3"/>
      <c r="G8" s="3"/>
      <c r="H8" s="3"/>
      <c r="I8" s="14"/>
      <c r="J8" s="24">
        <f t="shared" si="0"/>
        <v>0</v>
      </c>
      <c r="K8" s="5"/>
      <c r="L8" s="3"/>
      <c r="M8" s="3">
        <f>IF(AND($C8&gt;=0,$C8&lt;=入力!$P$38),M$1,0)</f>
        <v>0</v>
      </c>
      <c r="N8" s="3">
        <f>IF(AND($C8&gt;=0,$C8&lt;=入力!$P$38),N$1,0)</f>
        <v>0</v>
      </c>
      <c r="O8" s="3">
        <f>IF(AND($C8&gt;=0,$C8&lt;=入力!$P$38),O$1,0)</f>
        <v>0</v>
      </c>
      <c r="P8" s="3">
        <f>IF(AND($C8&gt;=0,$C8&lt;=入力!$P$38),P$1,0)</f>
        <v>0</v>
      </c>
      <c r="Q8" s="3">
        <f>IF(AND($C8&gt;=0,$C8&lt;=入力!$P$38),Q$1,0)</f>
        <v>0</v>
      </c>
      <c r="R8" s="3"/>
      <c r="S8" s="14"/>
      <c r="T8" s="18">
        <f t="shared" si="1"/>
        <v>0</v>
      </c>
      <c r="U8" s="24">
        <f t="shared" si="2"/>
        <v>0</v>
      </c>
      <c r="V8" s="5"/>
      <c r="W8" s="3">
        <f>IF(AND($C8&gt;=10,$C8&lt;=入力!$P$38),W$1,0)</f>
        <v>0</v>
      </c>
      <c r="X8" s="3">
        <f>IFERROR(VLOOKUP($C8,学費計算!$C:$R,学費計算!D$1,0),0)</f>
        <v>0</v>
      </c>
      <c r="Y8" s="3">
        <f>IFERROR(VLOOKUP($C8,学費計算!$C:$R,学費計算!E$1,0),0)</f>
        <v>0</v>
      </c>
      <c r="Z8" s="3">
        <f>IFERROR(VLOOKUP($C8,学費計算!$C:$R,学費計算!F$1,0),0)</f>
        <v>0</v>
      </c>
      <c r="AA8" s="3">
        <f>IFERROR(VLOOKUP($C8,学費計算!$C:$R,学費計算!G$1,0),0)</f>
        <v>0</v>
      </c>
      <c r="AB8" s="14"/>
      <c r="AC8" s="18">
        <f t="shared" si="3"/>
        <v>0</v>
      </c>
      <c r="AD8" s="24">
        <f t="shared" si="4"/>
        <v>0</v>
      </c>
      <c r="AE8" s="5">
        <f>IF(AND($C8&gt;=0,$C8&lt;=入力!$P$36),AE$1,0)</f>
        <v>0</v>
      </c>
      <c r="AF8" s="3"/>
      <c r="AG8" s="3"/>
      <c r="AH8" s="3"/>
      <c r="AI8" s="3"/>
      <c r="AJ8" s="14"/>
      <c r="AK8" s="18">
        <f t="shared" si="7"/>
        <v>0</v>
      </c>
      <c r="AL8" s="24">
        <f t="shared" si="5"/>
        <v>0</v>
      </c>
      <c r="AM8" s="24">
        <f t="shared" si="6"/>
        <v>0</v>
      </c>
      <c r="AP8" t="s">
        <v>495</v>
      </c>
      <c r="AQ8">
        <v>622</v>
      </c>
      <c r="AR8">
        <v>833.3</v>
      </c>
    </row>
    <row r="9" spans="2:51" x14ac:dyDescent="0.25">
      <c r="B9" s="5">
        <f t="shared" si="8"/>
        <v>22</v>
      </c>
      <c r="C9" s="3">
        <f t="shared" si="9"/>
        <v>-1</v>
      </c>
      <c r="D9" s="34"/>
      <c r="E9" s="3">
        <f>IF(親1!D9&lt;=833.3+42*親1!AS9,IF(AND(C9&gt;=0,C9&lt;=3),1.5*12,IF(AND(C9&gt;3,C9&lt;=15),1*12,0)),IF(AND(C9&gt;=0,C9&lt;=15),0.5*12,0))</f>
        <v>0</v>
      </c>
      <c r="F9" s="3"/>
      <c r="G9" s="3"/>
      <c r="H9" s="3"/>
      <c r="I9" s="14"/>
      <c r="J9" s="24">
        <f t="shared" si="0"/>
        <v>0</v>
      </c>
      <c r="K9" s="5"/>
      <c r="L9" s="3"/>
      <c r="M9" s="3">
        <f>IF(AND($C9&gt;=0,$C9&lt;=入力!$P$38),M$1,0)</f>
        <v>0</v>
      </c>
      <c r="N9" s="3">
        <f>IF(AND($C9&gt;=0,$C9&lt;=入力!$P$38),N$1,0)</f>
        <v>0</v>
      </c>
      <c r="O9" s="3">
        <f>IF(AND($C9&gt;=0,$C9&lt;=入力!$P$38),O$1,0)</f>
        <v>0</v>
      </c>
      <c r="P9" s="3">
        <f>IF(AND($C9&gt;=0,$C9&lt;=入力!$P$38),P$1,0)</f>
        <v>0</v>
      </c>
      <c r="Q9" s="3">
        <f>IF(AND($C9&gt;=0,$C9&lt;=入力!$P$38),Q$1,0)</f>
        <v>0</v>
      </c>
      <c r="R9" s="3"/>
      <c r="S9" s="14"/>
      <c r="T9" s="18">
        <f t="shared" si="1"/>
        <v>0</v>
      </c>
      <c r="U9" s="24">
        <f t="shared" si="2"/>
        <v>0</v>
      </c>
      <c r="V9" s="5"/>
      <c r="W9" s="3">
        <f>IF(AND($C9&gt;=10,$C9&lt;=入力!$P$38),W$1,0)</f>
        <v>0</v>
      </c>
      <c r="X9" s="3">
        <f>IFERROR(VLOOKUP($C9,学費計算!$C:$R,学費計算!D$1,0),0)</f>
        <v>0</v>
      </c>
      <c r="Y9" s="3">
        <f>IFERROR(VLOOKUP($C9,学費計算!$C:$R,学費計算!E$1,0),0)</f>
        <v>0</v>
      </c>
      <c r="Z9" s="3">
        <f>IFERROR(VLOOKUP($C9,学費計算!$C:$R,学費計算!F$1,0),0)</f>
        <v>0</v>
      </c>
      <c r="AA9" s="3">
        <f>IFERROR(VLOOKUP($C9,学費計算!$C:$R,学費計算!G$1,0),0)</f>
        <v>0</v>
      </c>
      <c r="AB9" s="14"/>
      <c r="AC9" s="18">
        <f t="shared" si="3"/>
        <v>0</v>
      </c>
      <c r="AD9" s="24">
        <f t="shared" si="4"/>
        <v>0</v>
      </c>
      <c r="AE9" s="5">
        <f>IF(AND($C9&gt;=0,$C9&lt;=入力!$P$36),AE$1,0)</f>
        <v>0</v>
      </c>
      <c r="AF9" s="3"/>
      <c r="AG9" s="3"/>
      <c r="AH9" s="3"/>
      <c r="AI9" s="3"/>
      <c r="AJ9" s="14"/>
      <c r="AK9" s="18">
        <f t="shared" si="7"/>
        <v>0</v>
      </c>
      <c r="AL9" s="24">
        <f t="shared" si="5"/>
        <v>0</v>
      </c>
      <c r="AM9" s="24">
        <f t="shared" si="6"/>
        <v>0</v>
      </c>
      <c r="AP9" t="s">
        <v>496</v>
      </c>
    </row>
    <row r="10" spans="2:51" x14ac:dyDescent="0.25">
      <c r="B10" s="5">
        <f t="shared" si="8"/>
        <v>23</v>
      </c>
      <c r="C10" s="3">
        <f t="shared" si="9"/>
        <v>0</v>
      </c>
      <c r="D10" s="34"/>
      <c r="E10" s="3">
        <f>IF(親1!D10&lt;=833.3+42*親1!AS10,IF(AND(C10&gt;=0,C10&lt;=3),1.5*12,IF(AND(C10&gt;3,C10&lt;=15),1*12,0)),IF(AND(C10&gt;=0,C10&lt;=15),0.5*12,0))</f>
        <v>18</v>
      </c>
      <c r="F10" s="3"/>
      <c r="G10" s="3"/>
      <c r="H10" s="3"/>
      <c r="I10" s="14"/>
      <c r="J10" s="24">
        <f t="shared" si="0"/>
        <v>18</v>
      </c>
      <c r="K10" s="5"/>
      <c r="L10" s="3"/>
      <c r="M10" s="3">
        <f>IF(AND($C10&gt;=0,$C10&lt;=入力!$P$38),M$1,0)</f>
        <v>17.820000000000004</v>
      </c>
      <c r="N10" s="3">
        <f>IF(AND($C10&gt;=0,$C10&lt;=入力!$P$38),N$1,0)</f>
        <v>6.6000000000000005</v>
      </c>
      <c r="O10" s="3">
        <f>IF(AND($C10&gt;=0,$C10&lt;=入力!$P$38),O$1,0)</f>
        <v>1.6500000000000001</v>
      </c>
      <c r="P10" s="3">
        <f>IF(AND($C10&gt;=0,$C10&lt;=入力!$P$38),P$1,0)</f>
        <v>1.3200000000000003</v>
      </c>
      <c r="Q10" s="3">
        <f>IF(AND($C10&gt;=0,$C10&lt;=入力!$P$38),Q$1,0)</f>
        <v>0.82500000000000007</v>
      </c>
      <c r="R10" s="3"/>
      <c r="S10" s="14"/>
      <c r="T10" s="18">
        <f t="shared" si="1"/>
        <v>28.215000000000003</v>
      </c>
      <c r="U10" s="24">
        <f t="shared" si="2"/>
        <v>-10.215000000000003</v>
      </c>
      <c r="V10" s="5"/>
      <c r="W10" s="3">
        <f>IF(AND($C10&gt;=10,$C10&lt;=入力!$P$38),W$1,0)</f>
        <v>0</v>
      </c>
      <c r="X10" s="3">
        <f>IFERROR(VLOOKUP($C10,学費計算!$C:$R,学費計算!D$1,0),0)</f>
        <v>0</v>
      </c>
      <c r="Y10" s="3">
        <f>IFERROR(VLOOKUP($C10,学費計算!$C:$R,学費計算!E$1,0),0)</f>
        <v>0</v>
      </c>
      <c r="Z10" s="3">
        <f>IFERROR(VLOOKUP($C10,学費計算!$C:$R,学費計算!F$1,0),0)</f>
        <v>36</v>
      </c>
      <c r="AA10" s="3">
        <f>IFERROR(VLOOKUP($C10,学費計算!$C:$R,学費計算!G$1,0),0)</f>
        <v>0</v>
      </c>
      <c r="AB10" s="14"/>
      <c r="AC10" s="18">
        <f t="shared" si="3"/>
        <v>36</v>
      </c>
      <c r="AD10" s="24">
        <f t="shared" si="4"/>
        <v>-46.215000000000003</v>
      </c>
      <c r="AE10" s="5">
        <f>IF(AND($C10&gt;=0,$C10&lt;=入力!$P$36),AE$1,0)</f>
        <v>6</v>
      </c>
      <c r="AF10" s="3"/>
      <c r="AG10" s="3"/>
      <c r="AH10" s="3"/>
      <c r="AI10" s="3"/>
      <c r="AJ10" s="14"/>
      <c r="AK10" s="18">
        <f t="shared" si="7"/>
        <v>6</v>
      </c>
      <c r="AL10" s="24">
        <f t="shared" si="5"/>
        <v>-52.215000000000003</v>
      </c>
      <c r="AM10" s="24">
        <f t="shared" si="6"/>
        <v>-52.215000000000003</v>
      </c>
      <c r="AP10" t="s">
        <v>497</v>
      </c>
      <c r="AQ10">
        <v>660</v>
      </c>
      <c r="AR10">
        <v>875.6</v>
      </c>
    </row>
    <row r="11" spans="2:51" x14ac:dyDescent="0.25">
      <c r="B11" s="5">
        <f t="shared" si="8"/>
        <v>24</v>
      </c>
      <c r="C11" s="3">
        <f t="shared" si="9"/>
        <v>1</v>
      </c>
      <c r="D11" s="34"/>
      <c r="E11" s="3">
        <f>IF(親1!D11&lt;=833.3+42*親1!AS11,IF(AND(C11&gt;=0,C11&lt;=3),1.5*12,IF(AND(C11&gt;3,C11&lt;=15),1*12,0)),IF(AND(C11&gt;=0,C11&lt;=15),0.5*12,0))</f>
        <v>18</v>
      </c>
      <c r="F11" s="3"/>
      <c r="G11" s="3"/>
      <c r="H11" s="3"/>
      <c r="I11" s="14"/>
      <c r="J11" s="24">
        <f t="shared" si="0"/>
        <v>18</v>
      </c>
      <c r="K11" s="5"/>
      <c r="L11" s="3"/>
      <c r="M11" s="3">
        <f>IF(AND($C11&gt;=0,$C11&lt;=入力!$P$38),M$1,0)</f>
        <v>17.820000000000004</v>
      </c>
      <c r="N11" s="3">
        <f>IF(AND($C11&gt;=0,$C11&lt;=入力!$P$38),N$1,0)</f>
        <v>6.6000000000000005</v>
      </c>
      <c r="O11" s="3">
        <f>IF(AND($C11&gt;=0,$C11&lt;=入力!$P$38),O$1,0)</f>
        <v>1.6500000000000001</v>
      </c>
      <c r="P11" s="3">
        <f>IF(AND($C11&gt;=0,$C11&lt;=入力!$P$38),P$1,0)</f>
        <v>1.3200000000000003</v>
      </c>
      <c r="Q11" s="3">
        <f>IF(AND($C11&gt;=0,$C11&lt;=入力!$P$38),Q$1,0)</f>
        <v>0.82500000000000007</v>
      </c>
      <c r="R11" s="3"/>
      <c r="S11" s="14"/>
      <c r="T11" s="18">
        <f t="shared" si="1"/>
        <v>28.215000000000003</v>
      </c>
      <c r="U11" s="24">
        <f t="shared" si="2"/>
        <v>-10.215000000000003</v>
      </c>
      <c r="V11" s="5"/>
      <c r="W11" s="3">
        <f>IF(AND($C11&gt;=10,$C11&lt;=入力!$P$38),W$1,0)</f>
        <v>0</v>
      </c>
      <c r="X11" s="3">
        <f>IFERROR(VLOOKUP($C11,学費計算!$C:$R,学費計算!D$1,0),0)</f>
        <v>0</v>
      </c>
      <c r="Y11" s="3">
        <f>IFERROR(VLOOKUP($C11,学費計算!$C:$R,学費計算!E$1,0),0)</f>
        <v>0</v>
      </c>
      <c r="Z11" s="3">
        <f>IFERROR(VLOOKUP($C11,学費計算!$C:$R,学費計算!F$1,0),0)</f>
        <v>36</v>
      </c>
      <c r="AA11" s="3">
        <f>IFERROR(VLOOKUP($C11,学費計算!$C:$R,学費計算!G$1,0),0)</f>
        <v>0</v>
      </c>
      <c r="AB11" s="14"/>
      <c r="AC11" s="18">
        <f t="shared" si="3"/>
        <v>36</v>
      </c>
      <c r="AD11" s="24">
        <f t="shared" si="4"/>
        <v>-46.215000000000003</v>
      </c>
      <c r="AE11" s="5">
        <f>IF(AND($C11&gt;=0,$C11&lt;=入力!$P$36),AE$1,0)</f>
        <v>6</v>
      </c>
      <c r="AF11" s="3"/>
      <c r="AG11" s="3"/>
      <c r="AH11" s="3"/>
      <c r="AI11" s="3"/>
      <c r="AJ11" s="14"/>
      <c r="AK11" s="18">
        <f t="shared" si="7"/>
        <v>6</v>
      </c>
      <c r="AL11" s="24">
        <f t="shared" si="5"/>
        <v>-52.215000000000003</v>
      </c>
      <c r="AM11" s="24">
        <f t="shared" si="6"/>
        <v>-104.43</v>
      </c>
      <c r="AP11" t="s">
        <v>498</v>
      </c>
    </row>
    <row r="12" spans="2:51" x14ac:dyDescent="0.25">
      <c r="B12" s="5">
        <f t="shared" si="8"/>
        <v>25</v>
      </c>
      <c r="C12" s="3">
        <f t="shared" si="9"/>
        <v>2</v>
      </c>
      <c r="D12" s="34"/>
      <c r="E12" s="3">
        <f>IF(親1!D12&lt;=833.3+42*親1!AS12,IF(AND(C12&gt;=0,C12&lt;=3),1.5*12,IF(AND(C12&gt;3,C12&lt;=15),1*12,0)),IF(AND(C12&gt;=0,C12&lt;=15),0.5*12,0))</f>
        <v>18</v>
      </c>
      <c r="F12" s="3"/>
      <c r="G12" s="3"/>
      <c r="H12" s="3"/>
      <c r="I12" s="14"/>
      <c r="J12" s="24">
        <f t="shared" si="0"/>
        <v>18</v>
      </c>
      <c r="K12" s="5"/>
      <c r="L12" s="3"/>
      <c r="M12" s="3">
        <f>IF(AND($C12&gt;=0,$C12&lt;=入力!$P$38),M$1,0)</f>
        <v>17.820000000000004</v>
      </c>
      <c r="N12" s="3">
        <f>IF(AND($C12&gt;=0,$C12&lt;=入力!$P$38),N$1,0)</f>
        <v>6.6000000000000005</v>
      </c>
      <c r="O12" s="3">
        <f>IF(AND($C12&gt;=0,$C12&lt;=入力!$P$38),O$1,0)</f>
        <v>1.6500000000000001</v>
      </c>
      <c r="P12" s="3">
        <f>IF(AND($C12&gt;=0,$C12&lt;=入力!$P$38),P$1,0)</f>
        <v>1.3200000000000003</v>
      </c>
      <c r="Q12" s="3">
        <f>IF(AND($C12&gt;=0,$C12&lt;=入力!$P$38),Q$1,0)</f>
        <v>0.82500000000000007</v>
      </c>
      <c r="R12" s="3"/>
      <c r="S12" s="14"/>
      <c r="T12" s="18">
        <f t="shared" si="1"/>
        <v>28.215000000000003</v>
      </c>
      <c r="U12" s="24">
        <f t="shared" si="2"/>
        <v>-10.215000000000003</v>
      </c>
      <c r="V12" s="5"/>
      <c r="W12" s="3">
        <f>IF(AND($C12&gt;=10,$C12&lt;=入力!$P$38),W$1,0)</f>
        <v>0</v>
      </c>
      <c r="X12" s="3">
        <f>IFERROR(VLOOKUP($C12,学費計算!$C:$R,学費計算!D$1,0),0)</f>
        <v>0</v>
      </c>
      <c r="Y12" s="3">
        <f>IFERROR(VLOOKUP($C12,学費計算!$C:$R,学費計算!E$1,0),0)</f>
        <v>0</v>
      </c>
      <c r="Z12" s="3">
        <f>IFERROR(VLOOKUP($C12,学費計算!$C:$R,学費計算!F$1,0),0)</f>
        <v>36</v>
      </c>
      <c r="AA12" s="3">
        <f>IFERROR(VLOOKUP($C12,学費計算!$C:$R,学費計算!G$1,0),0)</f>
        <v>0</v>
      </c>
      <c r="AB12" s="14"/>
      <c r="AC12" s="18">
        <f t="shared" si="3"/>
        <v>36</v>
      </c>
      <c r="AD12" s="24">
        <f t="shared" si="4"/>
        <v>-46.215000000000003</v>
      </c>
      <c r="AE12" s="5">
        <f>IF(AND($C12&gt;=0,$C12&lt;=入力!$P$36),AE$1,0)</f>
        <v>6</v>
      </c>
      <c r="AF12" s="3"/>
      <c r="AG12" s="3"/>
      <c r="AH12" s="3"/>
      <c r="AI12" s="3"/>
      <c r="AJ12" s="14"/>
      <c r="AK12" s="18">
        <f t="shared" si="7"/>
        <v>6</v>
      </c>
      <c r="AL12" s="24">
        <f t="shared" si="5"/>
        <v>-52.215000000000003</v>
      </c>
      <c r="AM12" s="24">
        <f t="shared" si="6"/>
        <v>-156.64500000000001</v>
      </c>
      <c r="AP12" t="s">
        <v>499</v>
      </c>
      <c r="AQ12">
        <v>698</v>
      </c>
      <c r="AR12">
        <v>917.8</v>
      </c>
    </row>
    <row r="13" spans="2:51" x14ac:dyDescent="0.25">
      <c r="B13" s="5">
        <f t="shared" si="8"/>
        <v>26</v>
      </c>
      <c r="C13" s="3">
        <f t="shared" si="9"/>
        <v>3</v>
      </c>
      <c r="D13" s="34"/>
      <c r="E13" s="3">
        <f>IF(親1!D13&lt;=833.3+42*親1!AS13,IF(AND(C13&gt;=0,C13&lt;=3),1.5*12,IF(AND(C13&gt;3,C13&lt;=15),1*12,0)),IF(AND(C13&gt;=0,C13&lt;=15),0.5*12,0))</f>
        <v>18</v>
      </c>
      <c r="F13" s="3"/>
      <c r="G13" s="3"/>
      <c r="H13" s="3"/>
      <c r="I13" s="14"/>
      <c r="J13" s="24">
        <f t="shared" si="0"/>
        <v>18</v>
      </c>
      <c r="K13" s="5"/>
      <c r="L13" s="3"/>
      <c r="M13" s="3">
        <f>IF(AND($C13&gt;=0,$C13&lt;=入力!$P$38),M$1,0)</f>
        <v>17.820000000000004</v>
      </c>
      <c r="N13" s="3">
        <f>IF(AND($C13&gt;=0,$C13&lt;=入力!$P$38),N$1,0)</f>
        <v>6.6000000000000005</v>
      </c>
      <c r="O13" s="3">
        <f>IF(AND($C13&gt;=0,$C13&lt;=入力!$P$38),O$1,0)</f>
        <v>1.6500000000000001</v>
      </c>
      <c r="P13" s="3">
        <f>IF(AND($C13&gt;=0,$C13&lt;=入力!$P$38),P$1,0)</f>
        <v>1.3200000000000003</v>
      </c>
      <c r="Q13" s="3">
        <f>IF(AND($C13&gt;=0,$C13&lt;=入力!$P$38),Q$1,0)</f>
        <v>0.82500000000000007</v>
      </c>
      <c r="R13" s="3"/>
      <c r="S13" s="14"/>
      <c r="T13" s="18">
        <f t="shared" si="1"/>
        <v>28.215000000000003</v>
      </c>
      <c r="U13" s="24">
        <f t="shared" si="2"/>
        <v>-10.215000000000003</v>
      </c>
      <c r="V13" s="5"/>
      <c r="W13" s="3">
        <f>IF(AND($C13&gt;=10,$C13&lt;=入力!$P$38),W$1,0)</f>
        <v>0</v>
      </c>
      <c r="X13" s="3">
        <f>IFERROR(VLOOKUP($C13,学費計算!$C:$R,学費計算!D$1,0),0)</f>
        <v>0</v>
      </c>
      <c r="Y13" s="3">
        <f>IFERROR(VLOOKUP($C13,学費計算!$C:$R,学費計算!E$1,0),0)</f>
        <v>12</v>
      </c>
      <c r="Z13" s="3">
        <f>IFERROR(VLOOKUP($C13,学費計算!$C:$R,学費計算!F$1,0),0)</f>
        <v>4.4733000000000001</v>
      </c>
      <c r="AA13" s="3">
        <f>IFERROR(VLOOKUP($C13,学費計算!$C:$R,学費計算!G$1,0),0)</f>
        <v>0</v>
      </c>
      <c r="AB13" s="14"/>
      <c r="AC13" s="18">
        <f t="shared" si="3"/>
        <v>16.473300000000002</v>
      </c>
      <c r="AD13" s="24">
        <f t="shared" si="4"/>
        <v>-26.688300000000005</v>
      </c>
      <c r="AE13" s="5">
        <f>IF(AND($C13&gt;=0,$C13&lt;=入力!$P$36),AE$1,0)</f>
        <v>6</v>
      </c>
      <c r="AF13" s="3"/>
      <c r="AG13" s="3"/>
      <c r="AH13" s="3"/>
      <c r="AI13" s="3"/>
      <c r="AJ13" s="14"/>
      <c r="AK13" s="18">
        <f t="shared" si="7"/>
        <v>6</v>
      </c>
      <c r="AL13" s="24">
        <f t="shared" si="5"/>
        <v>-32.688300000000005</v>
      </c>
      <c r="AM13" s="24">
        <f t="shared" si="6"/>
        <v>-189.33330000000001</v>
      </c>
      <c r="AP13" t="s">
        <v>500</v>
      </c>
    </row>
    <row r="14" spans="2:51" x14ac:dyDescent="0.25">
      <c r="B14" s="5">
        <f t="shared" si="8"/>
        <v>27</v>
      </c>
      <c r="C14" s="3">
        <f t="shared" si="9"/>
        <v>4</v>
      </c>
      <c r="D14" s="34"/>
      <c r="E14" s="3">
        <f>IF(親1!D14&lt;=833.3+42*親1!AS14,IF(AND(C14&gt;=0,C14&lt;=3),1.5*12,IF(AND(C14&gt;3,C14&lt;=15),1*12,0)),IF(AND(C14&gt;=0,C14&lt;=15),0.5*12,0))</f>
        <v>12</v>
      </c>
      <c r="F14" s="3"/>
      <c r="G14" s="3"/>
      <c r="H14" s="3"/>
      <c r="I14" s="14"/>
      <c r="J14" s="24">
        <f t="shared" si="0"/>
        <v>12</v>
      </c>
      <c r="K14" s="5"/>
      <c r="L14" s="3"/>
      <c r="M14" s="3">
        <f>IF(AND($C14&gt;=0,$C14&lt;=入力!$P$38),M$1,0)</f>
        <v>17.820000000000004</v>
      </c>
      <c r="N14" s="3">
        <f>IF(AND($C14&gt;=0,$C14&lt;=入力!$P$38),N$1,0)</f>
        <v>6.6000000000000005</v>
      </c>
      <c r="O14" s="3">
        <f>IF(AND($C14&gt;=0,$C14&lt;=入力!$P$38),O$1,0)</f>
        <v>1.6500000000000001</v>
      </c>
      <c r="P14" s="3">
        <f>IF(AND($C14&gt;=0,$C14&lt;=入力!$P$38),P$1,0)</f>
        <v>1.3200000000000003</v>
      </c>
      <c r="Q14" s="3">
        <f>IF(AND($C14&gt;=0,$C14&lt;=入力!$P$38),Q$1,0)</f>
        <v>0.82500000000000007</v>
      </c>
      <c r="R14" s="3"/>
      <c r="S14" s="14"/>
      <c r="T14" s="18">
        <f t="shared" si="1"/>
        <v>28.215000000000003</v>
      </c>
      <c r="U14" s="24">
        <f t="shared" si="2"/>
        <v>-16.215000000000003</v>
      </c>
      <c r="V14" s="5"/>
      <c r="W14" s="3">
        <f>IF(AND($C14&gt;=10,$C14&lt;=入力!$P$38),W$1,0)</f>
        <v>0</v>
      </c>
      <c r="X14" s="3">
        <f>IFERROR(VLOOKUP($C14,学費計算!$C:$R,学費計算!D$1,0),0)</f>
        <v>0</v>
      </c>
      <c r="Y14" s="3">
        <f>IFERROR(VLOOKUP($C14,学費計算!$C:$R,学費計算!E$1,0),0)</f>
        <v>12</v>
      </c>
      <c r="Z14" s="3">
        <f>IFERROR(VLOOKUP($C14,学費計算!$C:$R,学費計算!F$1,0),0)</f>
        <v>4.2769000000000004</v>
      </c>
      <c r="AA14" s="3">
        <f>IFERROR(VLOOKUP($C14,学費計算!$C:$R,学費計算!G$1,0),0)</f>
        <v>0</v>
      </c>
      <c r="AB14" s="14"/>
      <c r="AC14" s="18">
        <f t="shared" si="3"/>
        <v>16.276900000000001</v>
      </c>
      <c r="AD14" s="24">
        <f t="shared" si="4"/>
        <v>-32.491900000000001</v>
      </c>
      <c r="AE14" s="5">
        <f>IF(AND($C14&gt;=0,$C14&lt;=入力!$P$36),AE$1,0)</f>
        <v>6</v>
      </c>
      <c r="AF14" s="3"/>
      <c r="AG14" s="3"/>
      <c r="AH14" s="3"/>
      <c r="AI14" s="3"/>
      <c r="AJ14" s="14"/>
      <c r="AK14" s="18">
        <f t="shared" si="7"/>
        <v>6</v>
      </c>
      <c r="AL14" s="24">
        <f t="shared" si="5"/>
        <v>-38.491900000000001</v>
      </c>
      <c r="AM14" s="24">
        <f t="shared" si="6"/>
        <v>-227.8252</v>
      </c>
      <c r="AP14" t="s">
        <v>501</v>
      </c>
      <c r="AQ14">
        <v>736</v>
      </c>
      <c r="AR14">
        <v>960</v>
      </c>
    </row>
    <row r="15" spans="2:51" x14ac:dyDescent="0.25">
      <c r="B15" s="5">
        <f t="shared" si="8"/>
        <v>28</v>
      </c>
      <c r="C15" s="3">
        <f t="shared" si="9"/>
        <v>5</v>
      </c>
      <c r="D15" s="34"/>
      <c r="E15" s="3">
        <f>IF(親1!D15&lt;=833.3+42*親1!AS15,IF(AND(C15&gt;=0,C15&lt;=3),1.5*12,IF(AND(C15&gt;3,C15&lt;=15),1*12,0)),IF(AND(C15&gt;=0,C15&lt;=15),0.5*12,0))</f>
        <v>12</v>
      </c>
      <c r="F15" s="3"/>
      <c r="G15" s="3"/>
      <c r="H15" s="3"/>
      <c r="I15" s="14"/>
      <c r="J15" s="24">
        <f t="shared" si="0"/>
        <v>12</v>
      </c>
      <c r="K15" s="5"/>
      <c r="L15" s="3"/>
      <c r="M15" s="3">
        <f>IF(AND($C15&gt;=0,$C15&lt;=入力!$P$38),M$1,0)</f>
        <v>17.820000000000004</v>
      </c>
      <c r="N15" s="3">
        <f>IF(AND($C15&gt;=0,$C15&lt;=入力!$P$38),N$1,0)</f>
        <v>6.6000000000000005</v>
      </c>
      <c r="O15" s="3">
        <f>IF(AND($C15&gt;=0,$C15&lt;=入力!$P$38),O$1,0)</f>
        <v>1.6500000000000001</v>
      </c>
      <c r="P15" s="3">
        <f>IF(AND($C15&gt;=0,$C15&lt;=入力!$P$38),P$1,0)</f>
        <v>1.3200000000000003</v>
      </c>
      <c r="Q15" s="3">
        <f>IF(AND($C15&gt;=0,$C15&lt;=入力!$P$38),Q$1,0)</f>
        <v>0.82500000000000007</v>
      </c>
      <c r="R15" s="3"/>
      <c r="S15" s="14"/>
      <c r="T15" s="18">
        <f t="shared" si="1"/>
        <v>28.215000000000003</v>
      </c>
      <c r="U15" s="24">
        <f t="shared" si="2"/>
        <v>-16.215000000000003</v>
      </c>
      <c r="V15" s="5"/>
      <c r="W15" s="3">
        <f>IF(AND($C15&gt;=10,$C15&lt;=入力!$P$38),W$1,0)</f>
        <v>0</v>
      </c>
      <c r="X15" s="3">
        <f>IFERROR(VLOOKUP($C15,学費計算!$C:$R,学費計算!D$1,0),0)</f>
        <v>0</v>
      </c>
      <c r="Y15" s="3">
        <f>IFERROR(VLOOKUP($C15,学費計算!$C:$R,学費計算!E$1,0),0)</f>
        <v>12</v>
      </c>
      <c r="Z15" s="3">
        <f>IFERROR(VLOOKUP($C15,学費計算!$C:$R,学費計算!F$1,0),0)</f>
        <v>4.2496</v>
      </c>
      <c r="AA15" s="3">
        <f>IFERROR(VLOOKUP($C15,学費計算!$C:$R,学費計算!G$1,0),0)</f>
        <v>0</v>
      </c>
      <c r="AB15" s="14"/>
      <c r="AC15" s="18">
        <f t="shared" si="3"/>
        <v>16.249600000000001</v>
      </c>
      <c r="AD15" s="24">
        <f t="shared" si="4"/>
        <v>-32.464600000000004</v>
      </c>
      <c r="AE15" s="5">
        <f>IF(AND($C15&gt;=0,$C15&lt;=入力!$P$36),AE$1,0)</f>
        <v>6</v>
      </c>
      <c r="AF15" s="3"/>
      <c r="AG15" s="3"/>
      <c r="AH15" s="3"/>
      <c r="AI15" s="3"/>
      <c r="AJ15" s="14"/>
      <c r="AK15" s="18">
        <f t="shared" si="7"/>
        <v>6</v>
      </c>
      <c r="AL15" s="24">
        <f t="shared" si="5"/>
        <v>-38.464600000000004</v>
      </c>
      <c r="AM15" s="24">
        <f t="shared" si="6"/>
        <v>-266.28980000000001</v>
      </c>
      <c r="AP15" t="s">
        <v>502</v>
      </c>
    </row>
    <row r="16" spans="2:51" x14ac:dyDescent="0.25">
      <c r="B16" s="5">
        <f t="shared" si="8"/>
        <v>29</v>
      </c>
      <c r="C16" s="3">
        <f t="shared" si="9"/>
        <v>6</v>
      </c>
      <c r="D16" s="34"/>
      <c r="E16" s="3">
        <f>IF(親1!D16&lt;=833.3+42*親1!AS16,IF(AND(C16&gt;=0,C16&lt;=3),1.5*12,IF(AND(C16&gt;3,C16&lt;=15),1*12,0)),IF(AND(C16&gt;=0,C16&lt;=15),0.5*12,0))</f>
        <v>12</v>
      </c>
      <c r="F16" s="3"/>
      <c r="G16" s="3"/>
      <c r="H16" s="3"/>
      <c r="I16" s="14"/>
      <c r="J16" s="24">
        <f t="shared" si="0"/>
        <v>12</v>
      </c>
      <c r="K16" s="5"/>
      <c r="L16" s="3"/>
      <c r="M16" s="3">
        <f>IF(AND($C16&gt;=0,$C16&lt;=入力!$P$38),M$1,0)</f>
        <v>17.820000000000004</v>
      </c>
      <c r="N16" s="3">
        <f>IF(AND($C16&gt;=0,$C16&lt;=入力!$P$38),N$1,0)</f>
        <v>6.6000000000000005</v>
      </c>
      <c r="O16" s="3">
        <f>IF(AND($C16&gt;=0,$C16&lt;=入力!$P$38),O$1,0)</f>
        <v>1.6500000000000001</v>
      </c>
      <c r="P16" s="3">
        <f>IF(AND($C16&gt;=0,$C16&lt;=入力!$P$38),P$1,0)</f>
        <v>1.3200000000000003</v>
      </c>
      <c r="Q16" s="3">
        <f>IF(AND($C16&gt;=0,$C16&lt;=入力!$P$38),Q$1,0)</f>
        <v>0.82500000000000007</v>
      </c>
      <c r="R16" s="3"/>
      <c r="S16" s="14"/>
      <c r="T16" s="18">
        <f t="shared" si="1"/>
        <v>28.215000000000003</v>
      </c>
      <c r="U16" s="24">
        <f t="shared" si="2"/>
        <v>-16.215000000000003</v>
      </c>
      <c r="V16" s="5"/>
      <c r="W16" s="3">
        <f>IF(AND($C16&gt;=10,$C16&lt;=入力!$P$38),W$1,0)</f>
        <v>0</v>
      </c>
      <c r="X16" s="3">
        <f>IFERROR(VLOOKUP($C16,学費計算!$C:$R,学費計算!D$1,0),0)</f>
        <v>12</v>
      </c>
      <c r="Y16" s="3">
        <f>IFERROR(VLOOKUP($C16,学費計算!$C:$R,学費計算!E$1,0),0)</f>
        <v>0</v>
      </c>
      <c r="Z16" s="3">
        <f>IFERROR(VLOOKUP($C16,学費計算!$C:$R,学費計算!F$1,0),0)</f>
        <v>10.975300000000001</v>
      </c>
      <c r="AA16" s="3">
        <f>IFERROR(VLOOKUP($C16,学費計算!$C:$R,学費計算!G$1,0),0)</f>
        <v>0</v>
      </c>
      <c r="AB16" s="14"/>
      <c r="AC16" s="18">
        <f t="shared" si="3"/>
        <v>22.975300000000001</v>
      </c>
      <c r="AD16" s="24">
        <f t="shared" si="4"/>
        <v>-39.190300000000008</v>
      </c>
      <c r="AE16" s="5">
        <f>IF(AND($C16&gt;=0,$C16&lt;=入力!$P$36),AE$1,0)</f>
        <v>6</v>
      </c>
      <c r="AF16" s="3"/>
      <c r="AG16" s="3"/>
      <c r="AH16" s="3"/>
      <c r="AI16" s="3"/>
      <c r="AJ16" s="14"/>
      <c r="AK16" s="18">
        <f t="shared" si="7"/>
        <v>6</v>
      </c>
      <c r="AL16" s="24">
        <f t="shared" si="5"/>
        <v>-45.190300000000008</v>
      </c>
      <c r="AM16" s="24">
        <f t="shared" si="6"/>
        <v>-311.48009999999999</v>
      </c>
      <c r="AP16" t="s">
        <v>503</v>
      </c>
      <c r="AQ16">
        <v>774</v>
      </c>
      <c r="AR16">
        <v>1002</v>
      </c>
    </row>
    <row r="17" spans="2:44" x14ac:dyDescent="0.25">
      <c r="B17" s="5">
        <f t="shared" si="8"/>
        <v>30</v>
      </c>
      <c r="C17" s="3">
        <f t="shared" si="9"/>
        <v>7</v>
      </c>
      <c r="D17" s="34"/>
      <c r="E17" s="3">
        <f>IF(親1!D17&lt;=833.3+42*親1!AS17,IF(AND(C17&gt;=0,C17&lt;=3),1.5*12,IF(AND(C17&gt;3,C17&lt;=15),1*12,0)),IF(AND(C17&gt;=0,C17&lt;=15),0.5*12,0))</f>
        <v>12</v>
      </c>
      <c r="F17" s="3"/>
      <c r="G17" s="3"/>
      <c r="H17" s="3"/>
      <c r="I17" s="14"/>
      <c r="J17" s="24">
        <f t="shared" si="0"/>
        <v>12</v>
      </c>
      <c r="K17" s="5"/>
      <c r="L17" s="3"/>
      <c r="M17" s="3">
        <f>IF(AND($C17&gt;=0,$C17&lt;=入力!$P$38),M$1,0)</f>
        <v>17.820000000000004</v>
      </c>
      <c r="N17" s="3">
        <f>IF(AND($C17&gt;=0,$C17&lt;=入力!$P$38),N$1,0)</f>
        <v>6.6000000000000005</v>
      </c>
      <c r="O17" s="3">
        <f>IF(AND($C17&gt;=0,$C17&lt;=入力!$P$38),O$1,0)</f>
        <v>1.6500000000000001</v>
      </c>
      <c r="P17" s="3">
        <f>IF(AND($C17&gt;=0,$C17&lt;=入力!$P$38),P$1,0)</f>
        <v>1.3200000000000003</v>
      </c>
      <c r="Q17" s="3">
        <f>IF(AND($C17&gt;=0,$C17&lt;=入力!$P$38),Q$1,0)</f>
        <v>0.82500000000000007</v>
      </c>
      <c r="R17" s="3"/>
      <c r="S17" s="14"/>
      <c r="T17" s="18">
        <f t="shared" si="1"/>
        <v>28.215000000000003</v>
      </c>
      <c r="U17" s="24">
        <f t="shared" si="2"/>
        <v>-16.215000000000003</v>
      </c>
      <c r="V17" s="5"/>
      <c r="W17" s="3">
        <f>IF(AND($C17&gt;=10,$C17&lt;=入力!$P$38),W$1,0)</f>
        <v>0</v>
      </c>
      <c r="X17" s="3">
        <f>IFERROR(VLOOKUP($C17,学費計算!$C:$R,学費計算!D$1,0),0)</f>
        <v>12</v>
      </c>
      <c r="Y17" s="3">
        <f>IFERROR(VLOOKUP($C17,学費計算!$C:$R,学費計算!E$1,0),0)</f>
        <v>0</v>
      </c>
      <c r="Z17" s="3">
        <f>IFERROR(VLOOKUP($C17,学費計算!$C:$R,学費計算!F$1,0),0)</f>
        <v>3.6476999999999999</v>
      </c>
      <c r="AA17" s="3">
        <f>IFERROR(VLOOKUP($C17,学費計算!$C:$R,学費計算!G$1,0),0)</f>
        <v>0</v>
      </c>
      <c r="AB17" s="14"/>
      <c r="AC17" s="18">
        <f t="shared" si="3"/>
        <v>15.6477</v>
      </c>
      <c r="AD17" s="24">
        <f t="shared" si="4"/>
        <v>-31.862700000000004</v>
      </c>
      <c r="AE17" s="5">
        <f>IF(AND($C17&gt;=0,$C17&lt;=入力!$P$36),AE$1,0)</f>
        <v>6</v>
      </c>
      <c r="AF17" s="3"/>
      <c r="AG17" s="3"/>
      <c r="AH17" s="3"/>
      <c r="AI17" s="3"/>
      <c r="AJ17" s="14"/>
      <c r="AK17" s="18">
        <f t="shared" si="7"/>
        <v>6</v>
      </c>
      <c r="AL17" s="24">
        <f t="shared" si="5"/>
        <v>-37.862700000000004</v>
      </c>
      <c r="AM17" s="24">
        <f t="shared" si="6"/>
        <v>-349.34280000000001</v>
      </c>
      <c r="AP17" t="s">
        <v>504</v>
      </c>
    </row>
    <row r="18" spans="2:44" x14ac:dyDescent="0.25">
      <c r="B18" s="5">
        <f t="shared" si="8"/>
        <v>31</v>
      </c>
      <c r="C18" s="3">
        <f t="shared" si="9"/>
        <v>8</v>
      </c>
      <c r="D18" s="34"/>
      <c r="E18" s="3">
        <f>IF(親1!D18&lt;=833.3+42*親1!AS18,IF(AND(C18&gt;=0,C18&lt;=3),1.5*12,IF(AND(C18&gt;3,C18&lt;=15),1*12,0)),IF(AND(C18&gt;=0,C18&lt;=15),0.5*12,0))</f>
        <v>12</v>
      </c>
      <c r="F18" s="3"/>
      <c r="G18" s="3"/>
      <c r="H18" s="3"/>
      <c r="I18" s="14"/>
      <c r="J18" s="24">
        <f t="shared" si="0"/>
        <v>12</v>
      </c>
      <c r="K18" s="5"/>
      <c r="L18" s="3"/>
      <c r="M18" s="3">
        <f>IF(AND($C18&gt;=0,$C18&lt;=入力!$P$38),M$1,0)</f>
        <v>17.820000000000004</v>
      </c>
      <c r="N18" s="3">
        <f>IF(AND($C18&gt;=0,$C18&lt;=入力!$P$38),N$1,0)</f>
        <v>6.6000000000000005</v>
      </c>
      <c r="O18" s="3">
        <f>IF(AND($C18&gt;=0,$C18&lt;=入力!$P$38),O$1,0)</f>
        <v>1.6500000000000001</v>
      </c>
      <c r="P18" s="3">
        <f>IF(AND($C18&gt;=0,$C18&lt;=入力!$P$38),P$1,0)</f>
        <v>1.3200000000000003</v>
      </c>
      <c r="Q18" s="3">
        <f>IF(AND($C18&gt;=0,$C18&lt;=入力!$P$38),Q$1,0)</f>
        <v>0.82500000000000007</v>
      </c>
      <c r="R18" s="3"/>
      <c r="S18" s="14"/>
      <c r="T18" s="18">
        <f t="shared" si="1"/>
        <v>28.215000000000003</v>
      </c>
      <c r="U18" s="24">
        <f t="shared" si="2"/>
        <v>-16.215000000000003</v>
      </c>
      <c r="V18" s="5"/>
      <c r="W18" s="3">
        <f>IF(AND($C18&gt;=10,$C18&lt;=入力!$P$38),W$1,0)</f>
        <v>0</v>
      </c>
      <c r="X18" s="3">
        <f>IFERROR(VLOOKUP($C18,学費計算!$C:$R,学費計算!D$1,0),0)</f>
        <v>12</v>
      </c>
      <c r="Y18" s="3">
        <f>IFERROR(VLOOKUP($C18,学費計算!$C:$R,学費計算!E$1,0),0)</f>
        <v>0</v>
      </c>
      <c r="Z18" s="3">
        <f>IFERROR(VLOOKUP($C18,学費計算!$C:$R,学費計算!F$1,0),0)</f>
        <v>4.6673999999999998</v>
      </c>
      <c r="AA18" s="3">
        <f>IFERROR(VLOOKUP($C18,学費計算!$C:$R,学費計算!G$1,0),0)</f>
        <v>0</v>
      </c>
      <c r="AB18" s="14"/>
      <c r="AC18" s="18">
        <f t="shared" si="3"/>
        <v>16.667400000000001</v>
      </c>
      <c r="AD18" s="24">
        <f t="shared" si="4"/>
        <v>-32.882400000000004</v>
      </c>
      <c r="AE18" s="5">
        <f>IF(AND($C18&gt;=0,$C18&lt;=入力!$P$36),AE$1,0)</f>
        <v>6</v>
      </c>
      <c r="AF18" s="3"/>
      <c r="AG18" s="3"/>
      <c r="AH18" s="3"/>
      <c r="AI18" s="3"/>
      <c r="AJ18" s="14"/>
      <c r="AK18" s="18">
        <f t="shared" si="7"/>
        <v>6</v>
      </c>
      <c r="AL18" s="24">
        <f t="shared" si="5"/>
        <v>-38.882400000000004</v>
      </c>
      <c r="AM18" s="24">
        <f t="shared" si="6"/>
        <v>-388.22520000000003</v>
      </c>
      <c r="AP18" t="s">
        <v>505</v>
      </c>
      <c r="AQ18">
        <v>812</v>
      </c>
      <c r="AR18">
        <v>1040</v>
      </c>
    </row>
    <row r="19" spans="2:44" x14ac:dyDescent="0.25">
      <c r="B19" s="5">
        <f t="shared" si="8"/>
        <v>32</v>
      </c>
      <c r="C19" s="3">
        <f t="shared" si="9"/>
        <v>9</v>
      </c>
      <c r="D19" s="34"/>
      <c r="E19" s="3">
        <f>IF(親1!D19&lt;=833.3+42*親1!AS19,IF(AND(C19&gt;=0,C19&lt;=3),1.5*12,IF(AND(C19&gt;3,C19&lt;=15),1*12,0)),IF(AND(C19&gt;=0,C19&lt;=15),0.5*12,0))</f>
        <v>12</v>
      </c>
      <c r="F19" s="3"/>
      <c r="G19" s="3"/>
      <c r="H19" s="3"/>
      <c r="I19" s="14"/>
      <c r="J19" s="24">
        <f t="shared" si="0"/>
        <v>12</v>
      </c>
      <c r="K19" s="5"/>
      <c r="L19" s="3"/>
      <c r="M19" s="3">
        <f>IF(AND($C19&gt;=0,$C19&lt;=入力!$P$38),M$1,0)</f>
        <v>17.820000000000004</v>
      </c>
      <c r="N19" s="3">
        <f>IF(AND($C19&gt;=0,$C19&lt;=入力!$P$38),N$1,0)</f>
        <v>6.6000000000000005</v>
      </c>
      <c r="O19" s="3">
        <f>IF(AND($C19&gt;=0,$C19&lt;=入力!$P$38),O$1,0)</f>
        <v>1.6500000000000001</v>
      </c>
      <c r="P19" s="3">
        <f>IF(AND($C19&gt;=0,$C19&lt;=入力!$P$38),P$1,0)</f>
        <v>1.3200000000000003</v>
      </c>
      <c r="Q19" s="3">
        <f>IF(AND($C19&gt;=0,$C19&lt;=入力!$P$38),Q$1,0)</f>
        <v>0.82500000000000007</v>
      </c>
      <c r="R19" s="3"/>
      <c r="S19" s="14"/>
      <c r="T19" s="18">
        <f t="shared" si="1"/>
        <v>28.215000000000003</v>
      </c>
      <c r="U19" s="24">
        <f t="shared" si="2"/>
        <v>-16.215000000000003</v>
      </c>
      <c r="V19" s="5"/>
      <c r="W19" s="3">
        <f>IF(AND($C19&gt;=10,$C19&lt;=入力!$P$38),W$1,0)</f>
        <v>0</v>
      </c>
      <c r="X19" s="3">
        <f>IFERROR(VLOOKUP($C19,学費計算!$C:$R,学費計算!D$1,0),0)</f>
        <v>12</v>
      </c>
      <c r="Y19" s="3">
        <f>IFERROR(VLOOKUP($C19,学費計算!$C:$R,学費計算!E$1,0),0)</f>
        <v>0</v>
      </c>
      <c r="Z19" s="3">
        <f>IFERROR(VLOOKUP($C19,学費計算!$C:$R,学費計算!F$1,0),0)</f>
        <v>4.5660999999999996</v>
      </c>
      <c r="AA19" s="3">
        <f>IFERROR(VLOOKUP($C19,学費計算!$C:$R,学費計算!G$1,0),0)</f>
        <v>0</v>
      </c>
      <c r="AB19" s="14"/>
      <c r="AC19" s="18">
        <f t="shared" si="3"/>
        <v>16.566099999999999</v>
      </c>
      <c r="AD19" s="24">
        <f t="shared" si="4"/>
        <v>-32.781100000000002</v>
      </c>
      <c r="AE19" s="5">
        <f>IF(AND($C19&gt;=0,$C19&lt;=入力!$P$36),AE$1,0)</f>
        <v>6</v>
      </c>
      <c r="AF19" s="3"/>
      <c r="AG19" s="3"/>
      <c r="AH19" s="3"/>
      <c r="AI19" s="3"/>
      <c r="AJ19" s="14"/>
      <c r="AK19" s="18">
        <f t="shared" si="7"/>
        <v>6</v>
      </c>
      <c r="AL19" s="24">
        <f t="shared" si="5"/>
        <v>-38.781100000000002</v>
      </c>
      <c r="AM19" s="24">
        <f t="shared" si="6"/>
        <v>-427.00630000000001</v>
      </c>
      <c r="AP19" t="s">
        <v>506</v>
      </c>
    </row>
    <row r="20" spans="2:44" x14ac:dyDescent="0.25">
      <c r="B20" s="5">
        <f t="shared" si="8"/>
        <v>33</v>
      </c>
      <c r="C20" s="3">
        <f t="shared" si="9"/>
        <v>10</v>
      </c>
      <c r="D20" s="34"/>
      <c r="E20" s="3">
        <f>IF(親1!D20&lt;=833.3+42*親1!AS20,IF(AND(C20&gt;=0,C20&lt;=3),1.5*12,IF(AND(C20&gt;3,C20&lt;=15),1*12,0)),IF(AND(C20&gt;=0,C20&lt;=15),0.5*12,0))</f>
        <v>12</v>
      </c>
      <c r="F20" s="3"/>
      <c r="G20" s="3"/>
      <c r="H20" s="3"/>
      <c r="I20" s="14"/>
      <c r="J20" s="24">
        <f t="shared" si="0"/>
        <v>12</v>
      </c>
      <c r="K20" s="5"/>
      <c r="L20" s="3"/>
      <c r="M20" s="3">
        <f>IF(AND($C20&gt;=0,$C20&lt;=入力!$P$38),M$1,0)</f>
        <v>17.820000000000004</v>
      </c>
      <c r="N20" s="3">
        <f>IF(AND($C20&gt;=0,$C20&lt;=入力!$P$38),N$1,0)</f>
        <v>6.6000000000000005</v>
      </c>
      <c r="O20" s="3">
        <f>IF(AND($C20&gt;=0,$C20&lt;=入力!$P$38),O$1,0)</f>
        <v>1.6500000000000001</v>
      </c>
      <c r="P20" s="3">
        <f>IF(AND($C20&gt;=0,$C20&lt;=入力!$P$38),P$1,0)</f>
        <v>1.3200000000000003</v>
      </c>
      <c r="Q20" s="3">
        <f>IF(AND($C20&gt;=0,$C20&lt;=入力!$P$38),Q$1,0)</f>
        <v>0.82500000000000007</v>
      </c>
      <c r="R20" s="3"/>
      <c r="S20" s="14"/>
      <c r="T20" s="18">
        <f t="shared" si="1"/>
        <v>28.215000000000003</v>
      </c>
      <c r="U20" s="24">
        <f t="shared" si="2"/>
        <v>-16.215000000000003</v>
      </c>
      <c r="V20" s="5"/>
      <c r="W20" s="3">
        <f>IF(AND($C20&gt;=10,$C20&lt;=入力!$P$38),W$1,0)</f>
        <v>2.4000000000000004</v>
      </c>
      <c r="X20" s="3">
        <f>IFERROR(VLOOKUP($C20,学費計算!$C:$R,学費計算!D$1,0),0)</f>
        <v>12</v>
      </c>
      <c r="Y20" s="3">
        <f>IFERROR(VLOOKUP($C20,学費計算!$C:$R,学費計算!E$1,0),0)</f>
        <v>0</v>
      </c>
      <c r="Z20" s="3">
        <f>IFERROR(VLOOKUP($C20,学費計算!$C:$R,学費計算!F$1,0),0)</f>
        <v>5.6357999999999997</v>
      </c>
      <c r="AA20" s="3">
        <f>IFERROR(VLOOKUP($C20,学費計算!$C:$R,学費計算!G$1,0),0)</f>
        <v>0</v>
      </c>
      <c r="AB20" s="14"/>
      <c r="AC20" s="18">
        <f t="shared" si="3"/>
        <v>20.035800000000002</v>
      </c>
      <c r="AD20" s="24">
        <f t="shared" si="4"/>
        <v>-36.250800000000005</v>
      </c>
      <c r="AE20" s="5">
        <f>IF(AND($C20&gt;=0,$C20&lt;=入力!$P$36),AE$1,0)</f>
        <v>6</v>
      </c>
      <c r="AF20" s="3"/>
      <c r="AG20" s="3"/>
      <c r="AH20" s="3"/>
      <c r="AI20" s="3"/>
      <c r="AJ20" s="14"/>
      <c r="AK20" s="18">
        <f t="shared" si="7"/>
        <v>6</v>
      </c>
      <c r="AL20" s="24">
        <f t="shared" si="5"/>
        <v>-42.250800000000005</v>
      </c>
      <c r="AM20" s="24">
        <f t="shared" si="6"/>
        <v>-469.25710000000004</v>
      </c>
    </row>
    <row r="21" spans="2:44" x14ac:dyDescent="0.25">
      <c r="B21" s="5">
        <f t="shared" si="8"/>
        <v>34</v>
      </c>
      <c r="C21" s="3">
        <f t="shared" si="9"/>
        <v>11</v>
      </c>
      <c r="D21" s="34"/>
      <c r="E21" s="3">
        <f>IF(親1!D21&lt;=833.3+42*親1!AS21,IF(AND(C21&gt;=0,C21&lt;=3),1.5*12,IF(AND(C21&gt;3,C21&lt;=15),1*12,0)),IF(AND(C21&gt;=0,C21&lt;=15),0.5*12,0))</f>
        <v>12</v>
      </c>
      <c r="F21" s="3"/>
      <c r="G21" s="3"/>
      <c r="H21" s="3"/>
      <c r="I21" s="14"/>
      <c r="J21" s="24">
        <f t="shared" si="0"/>
        <v>12</v>
      </c>
      <c r="K21" s="5"/>
      <c r="L21" s="3"/>
      <c r="M21" s="3">
        <f>IF(AND($C21&gt;=0,$C21&lt;=入力!$P$38),M$1,0)</f>
        <v>17.820000000000004</v>
      </c>
      <c r="N21" s="3">
        <f>IF(AND($C21&gt;=0,$C21&lt;=入力!$P$38),N$1,0)</f>
        <v>6.6000000000000005</v>
      </c>
      <c r="O21" s="3">
        <f>IF(AND($C21&gt;=0,$C21&lt;=入力!$P$38),O$1,0)</f>
        <v>1.6500000000000001</v>
      </c>
      <c r="P21" s="3">
        <f>IF(AND($C21&gt;=0,$C21&lt;=入力!$P$38),P$1,0)</f>
        <v>1.3200000000000003</v>
      </c>
      <c r="Q21" s="3">
        <f>IF(AND($C21&gt;=0,$C21&lt;=入力!$P$38),Q$1,0)</f>
        <v>0.82500000000000007</v>
      </c>
      <c r="R21" s="3"/>
      <c r="S21" s="14"/>
      <c r="T21" s="18">
        <f t="shared" si="1"/>
        <v>28.215000000000003</v>
      </c>
      <c r="U21" s="24">
        <f t="shared" si="2"/>
        <v>-16.215000000000003</v>
      </c>
      <c r="V21" s="5"/>
      <c r="W21" s="3">
        <f>IF(AND($C21&gt;=10,$C21&lt;=入力!$P$38),W$1,0)</f>
        <v>2.4000000000000004</v>
      </c>
      <c r="X21" s="3">
        <f>IFERROR(VLOOKUP($C21,学費計算!$C:$R,学費計算!D$1,0),0)</f>
        <v>12</v>
      </c>
      <c r="Y21" s="3">
        <f>IFERROR(VLOOKUP($C21,学費計算!$C:$R,学費計算!E$1,0),0)</f>
        <v>0</v>
      </c>
      <c r="Z21" s="3">
        <f>IFERROR(VLOOKUP($C21,学費計算!$C:$R,学費計算!F$1,0),0)</f>
        <v>8.4511000000000003</v>
      </c>
      <c r="AA21" s="3">
        <f>IFERROR(VLOOKUP($C21,学費計算!$C:$R,学費計算!G$1,0),0)</f>
        <v>0</v>
      </c>
      <c r="AB21" s="14"/>
      <c r="AC21" s="18">
        <f t="shared" si="3"/>
        <v>22.851100000000002</v>
      </c>
      <c r="AD21" s="24">
        <f t="shared" si="4"/>
        <v>-39.066100000000006</v>
      </c>
      <c r="AE21" s="5">
        <f>IF(AND($C21&gt;=0,$C21&lt;=入力!$P$36),AE$1,0)</f>
        <v>6</v>
      </c>
      <c r="AF21" s="3"/>
      <c r="AG21" s="3"/>
      <c r="AH21" s="3"/>
      <c r="AI21" s="3"/>
      <c r="AJ21" s="14"/>
      <c r="AK21" s="18">
        <f t="shared" si="7"/>
        <v>6</v>
      </c>
      <c r="AL21" s="24">
        <f t="shared" si="5"/>
        <v>-45.066100000000006</v>
      </c>
      <c r="AM21" s="24">
        <f t="shared" si="6"/>
        <v>-514.32320000000004</v>
      </c>
    </row>
    <row r="22" spans="2:44" x14ac:dyDescent="0.25">
      <c r="B22" s="5">
        <f t="shared" si="8"/>
        <v>35</v>
      </c>
      <c r="C22" s="3">
        <f t="shared" si="9"/>
        <v>12</v>
      </c>
      <c r="D22" s="34"/>
      <c r="E22" s="3">
        <f>IF(親1!D22&lt;=833.3+42*親1!AS22,IF(AND(C22&gt;=0,C22&lt;=3),1.5*12,IF(AND(C22&gt;3,C22&lt;=15),1*12,0)),IF(AND(C22&gt;=0,C22&lt;=15),0.5*12,0))</f>
        <v>12</v>
      </c>
      <c r="F22" s="3"/>
      <c r="G22" s="3"/>
      <c r="H22" s="3"/>
      <c r="I22" s="14"/>
      <c r="J22" s="24">
        <f t="shared" si="0"/>
        <v>12</v>
      </c>
      <c r="K22" s="5"/>
      <c r="L22" s="3"/>
      <c r="M22" s="3">
        <f>IF(AND($C22&gt;=0,$C22&lt;=入力!$P$38),M$1,0)</f>
        <v>17.820000000000004</v>
      </c>
      <c r="N22" s="3">
        <f>IF(AND($C22&gt;=0,$C22&lt;=入力!$P$38),N$1,0)</f>
        <v>6.6000000000000005</v>
      </c>
      <c r="O22" s="3">
        <f>IF(AND($C22&gt;=0,$C22&lt;=入力!$P$38),O$1,0)</f>
        <v>1.6500000000000001</v>
      </c>
      <c r="P22" s="3">
        <f>IF(AND($C22&gt;=0,$C22&lt;=入力!$P$38),P$1,0)</f>
        <v>1.3200000000000003</v>
      </c>
      <c r="Q22" s="3">
        <f>IF(AND($C22&gt;=0,$C22&lt;=入力!$P$38),Q$1,0)</f>
        <v>0.82500000000000007</v>
      </c>
      <c r="R22" s="3"/>
      <c r="S22" s="14"/>
      <c r="T22" s="18">
        <f t="shared" si="1"/>
        <v>28.215000000000003</v>
      </c>
      <c r="U22" s="24">
        <f t="shared" si="2"/>
        <v>-16.215000000000003</v>
      </c>
      <c r="V22" s="5"/>
      <c r="W22" s="3">
        <f>IF(AND($C22&gt;=10,$C22&lt;=入力!$P$38),W$1,0)</f>
        <v>2.4000000000000004</v>
      </c>
      <c r="X22" s="3">
        <f>IFERROR(VLOOKUP($C22,学費計算!$C:$R,学費計算!D$1,0),0)</f>
        <v>0</v>
      </c>
      <c r="Y22" s="3">
        <f>IFERROR(VLOOKUP($C22,学費計算!$C:$R,学費計算!E$1,0),0)</f>
        <v>12</v>
      </c>
      <c r="Z22" s="3">
        <f>IFERROR(VLOOKUP($C22,学費計算!$C:$R,学費計算!F$1,0),0)</f>
        <v>19.459900000000001</v>
      </c>
      <c r="AA22" s="3">
        <f>IFERROR(VLOOKUP($C22,学費計算!$C:$R,学費計算!G$1,0),0)</f>
        <v>0</v>
      </c>
      <c r="AB22" s="14"/>
      <c r="AC22" s="18">
        <f t="shared" si="3"/>
        <v>33.859900000000003</v>
      </c>
      <c r="AD22" s="24">
        <f t="shared" si="4"/>
        <v>-50.074900000000007</v>
      </c>
      <c r="AE22" s="5">
        <f>IF(AND($C22&gt;=0,$C22&lt;=入力!$P$36),AE$1,0)</f>
        <v>6</v>
      </c>
      <c r="AF22" s="3"/>
      <c r="AG22" s="3"/>
      <c r="AH22" s="3"/>
      <c r="AI22" s="3"/>
      <c r="AJ22" s="14"/>
      <c r="AK22" s="18">
        <f t="shared" si="7"/>
        <v>6</v>
      </c>
      <c r="AL22" s="24">
        <f t="shared" si="5"/>
        <v>-56.074900000000007</v>
      </c>
      <c r="AM22" s="24">
        <f t="shared" si="6"/>
        <v>-570.3981</v>
      </c>
    </row>
    <row r="23" spans="2:44" x14ac:dyDescent="0.25">
      <c r="B23" s="5">
        <f t="shared" si="8"/>
        <v>36</v>
      </c>
      <c r="C23" s="3">
        <f t="shared" si="9"/>
        <v>13</v>
      </c>
      <c r="D23" s="34"/>
      <c r="E23" s="3">
        <f>IF(親1!D23&lt;=833.3+42*親1!AS23,IF(AND(C23&gt;=0,C23&lt;=3),1.5*12,IF(AND(C23&gt;3,C23&lt;=15),1*12,0)),IF(AND(C23&gt;=0,C23&lt;=15),0.5*12,0))</f>
        <v>12</v>
      </c>
      <c r="F23" s="3"/>
      <c r="G23" s="3"/>
      <c r="H23" s="3"/>
      <c r="I23" s="14"/>
      <c r="J23" s="24">
        <f t="shared" si="0"/>
        <v>12</v>
      </c>
      <c r="K23" s="5"/>
      <c r="L23" s="3"/>
      <c r="M23" s="3">
        <f>IF(AND($C23&gt;=0,$C23&lt;=入力!$P$38),M$1,0)</f>
        <v>17.820000000000004</v>
      </c>
      <c r="N23" s="3">
        <f>IF(AND($C23&gt;=0,$C23&lt;=入力!$P$38),N$1,0)</f>
        <v>6.6000000000000005</v>
      </c>
      <c r="O23" s="3">
        <f>IF(AND($C23&gt;=0,$C23&lt;=入力!$P$38),O$1,0)</f>
        <v>1.6500000000000001</v>
      </c>
      <c r="P23" s="3">
        <f>IF(AND($C23&gt;=0,$C23&lt;=入力!$P$38),P$1,0)</f>
        <v>1.3200000000000003</v>
      </c>
      <c r="Q23" s="3">
        <f>IF(AND($C23&gt;=0,$C23&lt;=入力!$P$38),Q$1,0)</f>
        <v>0.82500000000000007</v>
      </c>
      <c r="R23" s="3"/>
      <c r="S23" s="14"/>
      <c r="T23" s="18">
        <f t="shared" si="1"/>
        <v>28.215000000000003</v>
      </c>
      <c r="U23" s="24">
        <f t="shared" si="2"/>
        <v>-16.215000000000003</v>
      </c>
      <c r="V23" s="5"/>
      <c r="W23" s="3">
        <f>IF(AND($C23&gt;=10,$C23&lt;=入力!$P$38),W$1,0)</f>
        <v>2.4000000000000004</v>
      </c>
      <c r="X23" s="3">
        <f>IFERROR(VLOOKUP($C23,学費計算!$C:$R,学費計算!D$1,0),0)</f>
        <v>0</v>
      </c>
      <c r="Y23" s="3">
        <f>IFERROR(VLOOKUP($C23,学費計算!$C:$R,学費計算!E$1,0),0)</f>
        <v>12</v>
      </c>
      <c r="Z23" s="3">
        <f>IFERROR(VLOOKUP($C23,学費計算!$C:$R,学費計算!F$1,0),0)</f>
        <v>10.5365</v>
      </c>
      <c r="AA23" s="3">
        <f>IFERROR(VLOOKUP($C23,学費計算!$C:$R,学費計算!G$1,0),0)</f>
        <v>0</v>
      </c>
      <c r="AB23" s="14"/>
      <c r="AC23" s="18">
        <f t="shared" si="3"/>
        <v>24.936500000000002</v>
      </c>
      <c r="AD23" s="24">
        <f t="shared" si="4"/>
        <v>-41.151500000000006</v>
      </c>
      <c r="AE23" s="5">
        <f>IF(AND($C23&gt;=0,$C23&lt;=入力!$P$36),AE$1,0)</f>
        <v>6</v>
      </c>
      <c r="AF23" s="3"/>
      <c r="AG23" s="3"/>
      <c r="AH23" s="3"/>
      <c r="AI23" s="3"/>
      <c r="AJ23" s="14"/>
      <c r="AK23" s="18">
        <f t="shared" si="7"/>
        <v>6</v>
      </c>
      <c r="AL23" s="24">
        <f t="shared" si="5"/>
        <v>-47.151500000000006</v>
      </c>
      <c r="AM23" s="24">
        <f t="shared" si="6"/>
        <v>-617.54960000000005</v>
      </c>
    </row>
    <row r="24" spans="2:44" x14ac:dyDescent="0.25">
      <c r="B24" s="5">
        <f t="shared" si="8"/>
        <v>37</v>
      </c>
      <c r="C24" s="3">
        <f t="shared" si="9"/>
        <v>14</v>
      </c>
      <c r="D24" s="34"/>
      <c r="E24" s="3">
        <f>IF(親1!D24&lt;=833.3+42*親1!AS24,IF(AND(C24&gt;=0,C24&lt;=3),1.5*12,IF(AND(C24&gt;3,C24&lt;=15),1*12,0)),IF(AND(C24&gt;=0,C24&lt;=15),0.5*12,0))</f>
        <v>12</v>
      </c>
      <c r="F24" s="3"/>
      <c r="G24" s="3"/>
      <c r="H24" s="3"/>
      <c r="I24" s="14"/>
      <c r="J24" s="24">
        <f t="shared" si="0"/>
        <v>12</v>
      </c>
      <c r="K24" s="5"/>
      <c r="L24" s="3"/>
      <c r="M24" s="3">
        <f>IF(AND($C24&gt;=0,$C24&lt;=入力!$P$38),M$1,0)</f>
        <v>17.820000000000004</v>
      </c>
      <c r="N24" s="3">
        <f>IF(AND($C24&gt;=0,$C24&lt;=入力!$P$38),N$1,0)</f>
        <v>6.6000000000000005</v>
      </c>
      <c r="O24" s="3">
        <f>IF(AND($C24&gt;=0,$C24&lt;=入力!$P$38),O$1,0)</f>
        <v>1.6500000000000001</v>
      </c>
      <c r="P24" s="3">
        <f>IF(AND($C24&gt;=0,$C24&lt;=入力!$P$38),P$1,0)</f>
        <v>1.3200000000000003</v>
      </c>
      <c r="Q24" s="3">
        <f>IF(AND($C24&gt;=0,$C24&lt;=入力!$P$38),Q$1,0)</f>
        <v>0.82500000000000007</v>
      </c>
      <c r="R24" s="3"/>
      <c r="S24" s="14"/>
      <c r="T24" s="18">
        <f t="shared" si="1"/>
        <v>28.215000000000003</v>
      </c>
      <c r="U24" s="24">
        <f t="shared" si="2"/>
        <v>-16.215000000000003</v>
      </c>
      <c r="V24" s="5"/>
      <c r="W24" s="3">
        <f>IF(AND($C24&gt;=10,$C24&lt;=入力!$P$38),W$1,0)</f>
        <v>2.4000000000000004</v>
      </c>
      <c r="X24" s="3">
        <f>IFERROR(VLOOKUP($C24,学費計算!$C:$R,学費計算!D$1,0),0)</f>
        <v>0</v>
      </c>
      <c r="Y24" s="3">
        <f>IFERROR(VLOOKUP($C24,学費計算!$C:$R,学費計算!E$1,0),0)</f>
        <v>12</v>
      </c>
      <c r="Z24" s="3">
        <f>IFERROR(VLOOKUP($C24,学費計算!$C:$R,学費計算!F$1,0),0)</f>
        <v>11.936</v>
      </c>
      <c r="AA24" s="3">
        <f>IFERROR(VLOOKUP($C24,学費計算!$C:$R,学費計算!G$1,0),0)</f>
        <v>0</v>
      </c>
      <c r="AB24" s="14"/>
      <c r="AC24" s="18">
        <f t="shared" si="3"/>
        <v>26.335999999999999</v>
      </c>
      <c r="AD24" s="24">
        <f t="shared" si="4"/>
        <v>-42.551000000000002</v>
      </c>
      <c r="AE24" s="5">
        <f>IF(AND($C24&gt;=0,$C24&lt;=入力!$P$36),AE$1,0)</f>
        <v>6</v>
      </c>
      <c r="AF24" s="3"/>
      <c r="AG24" s="3"/>
      <c r="AH24" s="3"/>
      <c r="AI24" s="3"/>
      <c r="AJ24" s="14"/>
      <c r="AK24" s="18">
        <f t="shared" si="7"/>
        <v>6</v>
      </c>
      <c r="AL24" s="24">
        <f t="shared" si="5"/>
        <v>-48.551000000000002</v>
      </c>
      <c r="AM24" s="24">
        <f t="shared" si="6"/>
        <v>-666.1006000000001</v>
      </c>
    </row>
    <row r="25" spans="2:44" x14ac:dyDescent="0.25">
      <c r="B25" s="5">
        <f t="shared" si="8"/>
        <v>38</v>
      </c>
      <c r="C25" s="3">
        <f t="shared" si="9"/>
        <v>15</v>
      </c>
      <c r="D25" s="34"/>
      <c r="E25" s="3">
        <f>IF(親1!D25&lt;=833.3+42*親1!AS25,IF(AND(C25&gt;=0,C25&lt;=3),1.5*12,IF(AND(C25&gt;3,C25&lt;=15),1*12,0)),IF(AND(C25&gt;=0,C25&lt;=15),0.5*12,0))</f>
        <v>12</v>
      </c>
      <c r="F25" s="3"/>
      <c r="G25" s="3"/>
      <c r="H25" s="3"/>
      <c r="I25" s="14"/>
      <c r="J25" s="24">
        <f t="shared" si="0"/>
        <v>12</v>
      </c>
      <c r="K25" s="5"/>
      <c r="L25" s="3"/>
      <c r="M25" s="3">
        <f>IF(AND($C25&gt;=0,$C25&lt;=入力!$P$38),M$1,0)</f>
        <v>17.820000000000004</v>
      </c>
      <c r="N25" s="3">
        <f>IF(AND($C25&gt;=0,$C25&lt;=入力!$P$38),N$1,0)</f>
        <v>6.6000000000000005</v>
      </c>
      <c r="O25" s="3">
        <f>IF(AND($C25&gt;=0,$C25&lt;=入力!$P$38),O$1,0)</f>
        <v>1.6500000000000001</v>
      </c>
      <c r="P25" s="3">
        <f>IF(AND($C25&gt;=0,$C25&lt;=入力!$P$38),P$1,0)</f>
        <v>1.3200000000000003</v>
      </c>
      <c r="Q25" s="3">
        <f>IF(AND($C25&gt;=0,$C25&lt;=入力!$P$38),Q$1,0)</f>
        <v>0.82500000000000007</v>
      </c>
      <c r="R25" s="3"/>
      <c r="S25" s="14"/>
      <c r="T25" s="18">
        <f t="shared" si="1"/>
        <v>28.215000000000003</v>
      </c>
      <c r="U25" s="24">
        <f t="shared" si="2"/>
        <v>-16.215000000000003</v>
      </c>
      <c r="V25" s="5"/>
      <c r="W25" s="3">
        <f>IF(AND($C25&gt;=10,$C25&lt;=入力!$P$38),W$1,0)</f>
        <v>2.4000000000000004</v>
      </c>
      <c r="X25" s="3">
        <f>IFERROR(VLOOKUP($C25,学費計算!$C:$R,学費計算!D$1,0),0)</f>
        <v>0</v>
      </c>
      <c r="Y25" s="3">
        <f>IFERROR(VLOOKUP($C25,学費計算!$C:$R,学費計算!E$1,0),0)</f>
        <v>24</v>
      </c>
      <c r="Z25" s="3">
        <f>IFERROR(VLOOKUP($C25,学費計算!$C:$R,学費計算!F$1,0),0)</f>
        <v>37.037399999999998</v>
      </c>
      <c r="AA25" s="3">
        <f>IFERROR(VLOOKUP($C25,学費計算!$C:$R,学費計算!G$1,0),0)</f>
        <v>0</v>
      </c>
      <c r="AB25" s="14"/>
      <c r="AC25" s="18">
        <f t="shared" si="3"/>
        <v>63.437399999999997</v>
      </c>
      <c r="AD25" s="24">
        <f t="shared" si="4"/>
        <v>-79.6524</v>
      </c>
      <c r="AE25" s="5">
        <f>IF(AND($C25&gt;=0,$C25&lt;=入力!$P$36),AE$1,0)</f>
        <v>6</v>
      </c>
      <c r="AF25" s="3"/>
      <c r="AG25" s="3"/>
      <c r="AH25" s="3"/>
      <c r="AI25" s="3"/>
      <c r="AJ25" s="14"/>
      <c r="AK25" s="18">
        <f t="shared" si="7"/>
        <v>6</v>
      </c>
      <c r="AL25" s="24">
        <f t="shared" si="5"/>
        <v>-85.6524</v>
      </c>
      <c r="AM25" s="24">
        <f t="shared" si="6"/>
        <v>-751.75300000000016</v>
      </c>
    </row>
    <row r="26" spans="2:44" x14ac:dyDescent="0.25">
      <c r="B26" s="5">
        <f t="shared" si="8"/>
        <v>39</v>
      </c>
      <c r="C26" s="3">
        <f t="shared" si="9"/>
        <v>16</v>
      </c>
      <c r="D26" s="34"/>
      <c r="E26" s="3">
        <f>IF(親1!D26&lt;=833.3+42*親1!AS26,IF(AND(C26&gt;=0,C26&lt;=3),1.5*12,IF(AND(C26&gt;3,C26&lt;=15),1*12,0)),IF(AND(C26&gt;=0,C26&lt;=15),0.5*12,0))</f>
        <v>0</v>
      </c>
      <c r="F26" s="3"/>
      <c r="G26" s="3"/>
      <c r="H26" s="3"/>
      <c r="I26" s="14"/>
      <c r="J26" s="24">
        <f t="shared" si="0"/>
        <v>0</v>
      </c>
      <c r="K26" s="5"/>
      <c r="L26" s="3"/>
      <c r="M26" s="3">
        <f>IF(AND($C26&gt;=0,$C26&lt;=入力!$P$38),M$1,0)</f>
        <v>17.820000000000004</v>
      </c>
      <c r="N26" s="3">
        <f>IF(AND($C26&gt;=0,$C26&lt;=入力!$P$38),N$1,0)</f>
        <v>6.6000000000000005</v>
      </c>
      <c r="O26" s="3">
        <f>IF(AND($C26&gt;=0,$C26&lt;=入力!$P$38),O$1,0)</f>
        <v>1.6500000000000001</v>
      </c>
      <c r="P26" s="3">
        <f>IF(AND($C26&gt;=0,$C26&lt;=入力!$P$38),P$1,0)</f>
        <v>1.3200000000000003</v>
      </c>
      <c r="Q26" s="3">
        <f>IF(AND($C26&gt;=0,$C26&lt;=入力!$P$38),Q$1,0)</f>
        <v>0.82500000000000007</v>
      </c>
      <c r="R26" s="3"/>
      <c r="S26" s="14"/>
      <c r="T26" s="18">
        <f t="shared" si="1"/>
        <v>28.215000000000003</v>
      </c>
      <c r="U26" s="24">
        <f t="shared" si="2"/>
        <v>-28.215000000000003</v>
      </c>
      <c r="V26" s="5"/>
      <c r="W26" s="3">
        <f>IF(AND($C26&gt;=10,$C26&lt;=入力!$P$38),W$1,0)</f>
        <v>2.4000000000000004</v>
      </c>
      <c r="X26" s="3">
        <f>IFERROR(VLOOKUP($C26,学費計算!$C:$R,学費計算!D$1,0),0)</f>
        <v>0</v>
      </c>
      <c r="Y26" s="3">
        <f>IFERROR(VLOOKUP($C26,学費計算!$C:$R,学費計算!E$1,0),0)</f>
        <v>24</v>
      </c>
      <c r="Z26" s="3">
        <f>IFERROR(VLOOKUP($C26,学費計算!$C:$R,学費計算!F$1,0),0)</f>
        <v>29.9848</v>
      </c>
      <c r="AA26" s="3">
        <f>IFERROR(VLOOKUP($C26,学費計算!$C:$R,学費計算!G$1,0),0)</f>
        <v>0</v>
      </c>
      <c r="AB26" s="14"/>
      <c r="AC26" s="18">
        <f t="shared" si="3"/>
        <v>56.384799999999998</v>
      </c>
      <c r="AD26" s="24">
        <f t="shared" si="4"/>
        <v>-84.599800000000002</v>
      </c>
      <c r="AE26" s="5">
        <f>IF(AND($C26&gt;=0,$C26&lt;=入力!$P$36),AE$1,0)</f>
        <v>6</v>
      </c>
      <c r="AF26" s="3"/>
      <c r="AG26" s="3"/>
      <c r="AH26" s="3"/>
      <c r="AI26" s="3"/>
      <c r="AJ26" s="14"/>
      <c r="AK26" s="18">
        <f t="shared" si="7"/>
        <v>6</v>
      </c>
      <c r="AL26" s="24">
        <f t="shared" si="5"/>
        <v>-90.599800000000002</v>
      </c>
      <c r="AM26" s="24">
        <f t="shared" si="6"/>
        <v>-842.35280000000012</v>
      </c>
    </row>
    <row r="27" spans="2:44" x14ac:dyDescent="0.25">
      <c r="B27" s="5">
        <f t="shared" si="8"/>
        <v>40</v>
      </c>
      <c r="C27" s="3">
        <f t="shared" si="9"/>
        <v>17</v>
      </c>
      <c r="D27" s="34"/>
      <c r="E27" s="3">
        <f>IF(親1!D27&lt;=833.3+42*親1!AS27,IF(AND(C27&gt;=0,C27&lt;=3),1.5*12,IF(AND(C27&gt;3,C27&lt;=15),1*12,0)),IF(AND(C27&gt;=0,C27&lt;=15),0.5*12,0))</f>
        <v>0</v>
      </c>
      <c r="F27" s="3"/>
      <c r="G27" s="3"/>
      <c r="H27" s="3"/>
      <c r="I27" s="14"/>
      <c r="J27" s="24">
        <f t="shared" si="0"/>
        <v>0</v>
      </c>
      <c r="K27" s="5"/>
      <c r="L27" s="3"/>
      <c r="M27" s="3">
        <f>IF(AND($C27&gt;=0,$C27&lt;=入力!$P$38),M$1,0)</f>
        <v>17.820000000000004</v>
      </c>
      <c r="N27" s="3">
        <f>IF(AND($C27&gt;=0,$C27&lt;=入力!$P$38),N$1,0)</f>
        <v>6.6000000000000005</v>
      </c>
      <c r="O27" s="3">
        <f>IF(AND($C27&gt;=0,$C27&lt;=入力!$P$38),O$1,0)</f>
        <v>1.6500000000000001</v>
      </c>
      <c r="P27" s="3">
        <f>IF(AND($C27&gt;=0,$C27&lt;=入力!$P$38),P$1,0)</f>
        <v>1.3200000000000003</v>
      </c>
      <c r="Q27" s="3">
        <f>IF(AND($C27&gt;=0,$C27&lt;=入力!$P$38),Q$1,0)</f>
        <v>0.82500000000000007</v>
      </c>
      <c r="R27" s="3"/>
      <c r="S27" s="14"/>
      <c r="T27" s="18">
        <f t="shared" si="1"/>
        <v>28.215000000000003</v>
      </c>
      <c r="U27" s="24">
        <f t="shared" si="2"/>
        <v>-28.215000000000003</v>
      </c>
      <c r="V27" s="5"/>
      <c r="W27" s="3">
        <f>IF(AND($C27&gt;=10,$C27&lt;=入力!$P$38),W$1,0)</f>
        <v>2.4000000000000004</v>
      </c>
      <c r="X27" s="3">
        <f>IFERROR(VLOOKUP($C27,学費計算!$C:$R,学費計算!D$1,0),0)</f>
        <v>0</v>
      </c>
      <c r="Y27" s="3">
        <f>IFERROR(VLOOKUP($C27,学費計算!$C:$R,学費計算!E$1,0),0)</f>
        <v>24</v>
      </c>
      <c r="Z27" s="3">
        <f>IFERROR(VLOOKUP($C27,学費計算!$C:$R,学費計算!F$1,0),0)</f>
        <v>17.100000000000001</v>
      </c>
      <c r="AA27" s="3">
        <f>IFERROR(VLOOKUP($C27,学費計算!$C:$R,学費計算!G$1,0),0)</f>
        <v>0</v>
      </c>
      <c r="AB27" s="14"/>
      <c r="AC27" s="18">
        <f t="shared" si="3"/>
        <v>43.5</v>
      </c>
      <c r="AD27" s="24">
        <f t="shared" si="4"/>
        <v>-71.715000000000003</v>
      </c>
      <c r="AE27" s="5">
        <f>IF(AND($C27&gt;=0,$C27&lt;=入力!$P$36),AE$1,0)</f>
        <v>6</v>
      </c>
      <c r="AF27" s="3"/>
      <c r="AG27" s="3"/>
      <c r="AH27" s="3"/>
      <c r="AI27" s="3"/>
      <c r="AJ27" s="14"/>
      <c r="AK27" s="18">
        <f t="shared" si="7"/>
        <v>6</v>
      </c>
      <c r="AL27" s="24">
        <f t="shared" si="5"/>
        <v>-77.715000000000003</v>
      </c>
      <c r="AM27" s="24">
        <f t="shared" si="6"/>
        <v>-920.06780000000015</v>
      </c>
    </row>
    <row r="28" spans="2:44" x14ac:dyDescent="0.25">
      <c r="B28" s="5">
        <f t="shared" si="8"/>
        <v>41</v>
      </c>
      <c r="C28" s="3">
        <f t="shared" si="9"/>
        <v>18</v>
      </c>
      <c r="D28" s="34"/>
      <c r="E28" s="3">
        <f>IF(親1!D28&lt;=833.3+42*親1!AS28,IF(AND(C28&gt;=0,C28&lt;=3),1.5*12,IF(AND(C28&gt;3,C28&lt;=15),1*12,0)),IF(AND(C28&gt;=0,C28&lt;=15),0.5*12,0))</f>
        <v>0</v>
      </c>
      <c r="F28" s="3"/>
      <c r="G28" s="3"/>
      <c r="H28" s="3"/>
      <c r="I28" s="14"/>
      <c r="J28" s="24">
        <f t="shared" si="0"/>
        <v>0</v>
      </c>
      <c r="K28" s="5"/>
      <c r="L28" s="3"/>
      <c r="M28" s="3">
        <f>IF(AND($C28&gt;=0,$C28&lt;=入力!$P$38),M$1,0)</f>
        <v>17.820000000000004</v>
      </c>
      <c r="N28" s="3">
        <f>IF(AND($C28&gt;=0,$C28&lt;=入力!$P$38),N$1,0)</f>
        <v>6.6000000000000005</v>
      </c>
      <c r="O28" s="3">
        <f>IF(AND($C28&gt;=0,$C28&lt;=入力!$P$38),O$1,0)</f>
        <v>1.6500000000000001</v>
      </c>
      <c r="P28" s="3">
        <f>IF(AND($C28&gt;=0,$C28&lt;=入力!$P$38),P$1,0)</f>
        <v>1.3200000000000003</v>
      </c>
      <c r="Q28" s="3">
        <f>IF(AND($C28&gt;=0,$C28&lt;=入力!$P$38),Q$1,0)</f>
        <v>0.82500000000000007</v>
      </c>
      <c r="R28" s="3"/>
      <c r="S28" s="14"/>
      <c r="T28" s="18">
        <f t="shared" si="1"/>
        <v>28.215000000000003</v>
      </c>
      <c r="U28" s="24">
        <f t="shared" si="2"/>
        <v>-28.215000000000003</v>
      </c>
      <c r="V28" s="5"/>
      <c r="W28" s="3">
        <f>IF(AND($C28&gt;=10,$C28&lt;=入力!$P$38),W$1,0)</f>
        <v>2.4000000000000004</v>
      </c>
      <c r="X28" s="3">
        <f>IFERROR(VLOOKUP($C28,学費計算!$C:$R,学費計算!D$1,0),0)</f>
        <v>0</v>
      </c>
      <c r="Y28" s="3">
        <f>IFERROR(VLOOKUP($C28,学費計算!$C:$R,学費計算!E$1,0),0)</f>
        <v>0</v>
      </c>
      <c r="Z28" s="3">
        <f>IFERROR(VLOOKUP($C28,学費計算!$C:$R,学費計算!F$1,0),0)</f>
        <v>93.225099999999998</v>
      </c>
      <c r="AA28" s="3">
        <f>IFERROR(VLOOKUP($C28,学費計算!$C:$R,学費計算!G$1,0),0)</f>
        <v>0</v>
      </c>
      <c r="AB28" s="14"/>
      <c r="AC28" s="18">
        <f t="shared" si="3"/>
        <v>95.625100000000003</v>
      </c>
      <c r="AD28" s="24">
        <f t="shared" si="4"/>
        <v>-123.84010000000001</v>
      </c>
      <c r="AE28" s="5">
        <f>IF(AND($C28&gt;=0,$C28&lt;=入力!$P$36),AE$1,0)</f>
        <v>6</v>
      </c>
      <c r="AF28" s="3"/>
      <c r="AG28" s="3"/>
      <c r="AH28" s="3"/>
      <c r="AI28" s="3"/>
      <c r="AJ28" s="14"/>
      <c r="AK28" s="18">
        <f t="shared" si="7"/>
        <v>6</v>
      </c>
      <c r="AL28" s="24">
        <f t="shared" si="5"/>
        <v>-129.84010000000001</v>
      </c>
      <c r="AM28" s="24">
        <f t="shared" si="6"/>
        <v>-1049.9079000000002</v>
      </c>
    </row>
    <row r="29" spans="2:44" x14ac:dyDescent="0.25">
      <c r="B29" s="5">
        <f t="shared" si="8"/>
        <v>42</v>
      </c>
      <c r="C29" s="3">
        <f t="shared" si="9"/>
        <v>19</v>
      </c>
      <c r="D29" s="34"/>
      <c r="E29" s="3">
        <f>IF(親1!D29&lt;=833.3+42*親1!AS29,IF(AND(C29&gt;=0,C29&lt;=3),1.5*12,IF(AND(C29&gt;3,C29&lt;=15),1*12,0)),IF(AND(C29&gt;=0,C29&lt;=15),0.5*12,0))</f>
        <v>0</v>
      </c>
      <c r="F29" s="3"/>
      <c r="G29" s="3"/>
      <c r="H29" s="3"/>
      <c r="I29" s="14"/>
      <c r="J29" s="24">
        <f t="shared" si="0"/>
        <v>0</v>
      </c>
      <c r="K29" s="5"/>
      <c r="L29" s="3"/>
      <c r="M29" s="3">
        <f>IF(AND($C29&gt;=0,$C29&lt;=入力!$P$38),M$1,0)</f>
        <v>17.820000000000004</v>
      </c>
      <c r="N29" s="3">
        <f>IF(AND($C29&gt;=0,$C29&lt;=入力!$P$38),N$1,0)</f>
        <v>6.6000000000000005</v>
      </c>
      <c r="O29" s="3">
        <f>IF(AND($C29&gt;=0,$C29&lt;=入力!$P$38),O$1,0)</f>
        <v>1.6500000000000001</v>
      </c>
      <c r="P29" s="3">
        <f>IF(AND($C29&gt;=0,$C29&lt;=入力!$P$38),P$1,0)</f>
        <v>1.3200000000000003</v>
      </c>
      <c r="Q29" s="3">
        <f>IF(AND($C29&gt;=0,$C29&lt;=入力!$P$38),Q$1,0)</f>
        <v>0.82500000000000007</v>
      </c>
      <c r="R29" s="3"/>
      <c r="S29" s="14"/>
      <c r="T29" s="18">
        <f t="shared" si="1"/>
        <v>28.215000000000003</v>
      </c>
      <c r="U29" s="24">
        <f t="shared" si="2"/>
        <v>-28.215000000000003</v>
      </c>
      <c r="V29" s="5"/>
      <c r="W29" s="3">
        <f>IF(AND($C29&gt;=10,$C29&lt;=入力!$P$38),W$1,0)</f>
        <v>2.4000000000000004</v>
      </c>
      <c r="X29" s="3">
        <f>IFERROR(VLOOKUP($C29,学費計算!$C:$R,学費計算!D$1,0),0)</f>
        <v>0</v>
      </c>
      <c r="Y29" s="3">
        <f>IFERROR(VLOOKUP($C29,学費計算!$C:$R,学費計算!E$1,0),0)</f>
        <v>0</v>
      </c>
      <c r="Z29" s="3">
        <f>IFERROR(VLOOKUP($C29,学費計算!$C:$R,学費計算!F$1,0),0)</f>
        <v>53.58</v>
      </c>
      <c r="AA29" s="3">
        <f>IFERROR(VLOOKUP($C29,学費計算!$C:$R,学費計算!G$1,0),0)</f>
        <v>0</v>
      </c>
      <c r="AB29" s="14"/>
      <c r="AC29" s="18">
        <f t="shared" si="3"/>
        <v>55.98</v>
      </c>
      <c r="AD29" s="24">
        <f t="shared" si="4"/>
        <v>-84.194999999999993</v>
      </c>
      <c r="AE29" s="5">
        <f>IF(AND($C29&gt;=0,$C29&lt;=入力!$P$36),AE$1,0)</f>
        <v>0</v>
      </c>
      <c r="AF29" s="3"/>
      <c r="AG29" s="3"/>
      <c r="AH29" s="3"/>
      <c r="AI29" s="3"/>
      <c r="AJ29" s="14"/>
      <c r="AK29" s="18">
        <f t="shared" si="7"/>
        <v>0</v>
      </c>
      <c r="AL29" s="24">
        <f t="shared" si="5"/>
        <v>-84.194999999999993</v>
      </c>
      <c r="AM29" s="24">
        <f t="shared" si="6"/>
        <v>-1134.1029000000001</v>
      </c>
    </row>
    <row r="30" spans="2:44" x14ac:dyDescent="0.25">
      <c r="B30" s="5">
        <f t="shared" si="8"/>
        <v>43</v>
      </c>
      <c r="C30" s="3">
        <f t="shared" si="9"/>
        <v>20</v>
      </c>
      <c r="D30" s="34"/>
      <c r="E30" s="3">
        <f>IF(親1!D30&lt;=833.3+42*親1!AS30,IF(AND(C30&gt;=0,C30&lt;=3),1.5*12,IF(AND(C30&gt;3,C30&lt;=15),1*12,0)),IF(AND(C30&gt;=0,C30&lt;=15),0.5*12,0))</f>
        <v>0</v>
      </c>
      <c r="F30" s="3"/>
      <c r="G30" s="3"/>
      <c r="H30" s="3"/>
      <c r="I30" s="14"/>
      <c r="J30" s="24">
        <f t="shared" si="0"/>
        <v>0</v>
      </c>
      <c r="K30" s="5"/>
      <c r="L30" s="3"/>
      <c r="M30" s="3">
        <f>IF(AND($C30&gt;=0,$C30&lt;=入力!$P$38),M$1,0)</f>
        <v>17.820000000000004</v>
      </c>
      <c r="N30" s="3">
        <f>IF(AND($C30&gt;=0,$C30&lt;=入力!$P$38),N$1,0)</f>
        <v>6.6000000000000005</v>
      </c>
      <c r="O30" s="3">
        <f>IF(AND($C30&gt;=0,$C30&lt;=入力!$P$38),O$1,0)</f>
        <v>1.6500000000000001</v>
      </c>
      <c r="P30" s="3">
        <f>IF(AND($C30&gt;=0,$C30&lt;=入力!$P$38),P$1,0)</f>
        <v>1.3200000000000003</v>
      </c>
      <c r="Q30" s="3">
        <f>IF(AND($C30&gt;=0,$C30&lt;=入力!$P$38),Q$1,0)</f>
        <v>0.82500000000000007</v>
      </c>
      <c r="R30" s="3"/>
      <c r="S30" s="14"/>
      <c r="T30" s="18">
        <f t="shared" si="1"/>
        <v>28.215000000000003</v>
      </c>
      <c r="U30" s="24">
        <f t="shared" si="2"/>
        <v>-28.215000000000003</v>
      </c>
      <c r="V30" s="5"/>
      <c r="W30" s="3">
        <f>IF(AND($C30&gt;=10,$C30&lt;=入力!$P$38),W$1,0)</f>
        <v>2.4000000000000004</v>
      </c>
      <c r="X30" s="3">
        <f>IFERROR(VLOOKUP($C30,学費計算!$C:$R,学費計算!D$1,0),0)</f>
        <v>0</v>
      </c>
      <c r="Y30" s="3">
        <f>IFERROR(VLOOKUP($C30,学費計算!$C:$R,学費計算!E$1,0),0)</f>
        <v>0</v>
      </c>
      <c r="Z30" s="3">
        <f>IFERROR(VLOOKUP($C30,学費計算!$C:$R,学費計算!F$1,0),0)</f>
        <v>53.58</v>
      </c>
      <c r="AA30" s="3">
        <f>IFERROR(VLOOKUP($C30,学費計算!$C:$R,学費計算!G$1,0),0)</f>
        <v>0</v>
      </c>
      <c r="AB30" s="14"/>
      <c r="AC30" s="18">
        <f t="shared" si="3"/>
        <v>55.98</v>
      </c>
      <c r="AD30" s="24">
        <f t="shared" si="4"/>
        <v>-84.194999999999993</v>
      </c>
      <c r="AE30" s="5">
        <f>IF(AND($C30&gt;=0,$C30&lt;=入力!$P$36),AE$1,0)</f>
        <v>0</v>
      </c>
      <c r="AF30" s="3"/>
      <c r="AG30" s="3"/>
      <c r="AH30" s="3"/>
      <c r="AI30" s="3"/>
      <c r="AJ30" s="14"/>
      <c r="AK30" s="18">
        <f t="shared" si="7"/>
        <v>0</v>
      </c>
      <c r="AL30" s="24">
        <f t="shared" si="5"/>
        <v>-84.194999999999993</v>
      </c>
      <c r="AM30" s="24">
        <f t="shared" si="6"/>
        <v>-1218.2979</v>
      </c>
    </row>
    <row r="31" spans="2:44" x14ac:dyDescent="0.25">
      <c r="B31" s="5">
        <f t="shared" si="8"/>
        <v>44</v>
      </c>
      <c r="C31" s="3">
        <f t="shared" si="9"/>
        <v>21</v>
      </c>
      <c r="D31" s="34"/>
      <c r="E31" s="3">
        <f>IF(親1!D31&lt;=833.3+42*親1!AS31,IF(AND(C31&gt;=0,C31&lt;=3),1.5*12,IF(AND(C31&gt;3,C31&lt;=15),1*12,0)),IF(AND(C31&gt;=0,C31&lt;=15),0.5*12,0))</f>
        <v>0</v>
      </c>
      <c r="F31" s="3"/>
      <c r="G31" s="3"/>
      <c r="H31" s="3"/>
      <c r="I31" s="14"/>
      <c r="J31" s="24">
        <f t="shared" si="0"/>
        <v>0</v>
      </c>
      <c r="K31" s="5"/>
      <c r="L31" s="3"/>
      <c r="M31" s="3">
        <f>IF(AND($C31&gt;=0,$C31&lt;=入力!$P$38),M$1,0)</f>
        <v>17.820000000000004</v>
      </c>
      <c r="N31" s="3">
        <f>IF(AND($C31&gt;=0,$C31&lt;=入力!$P$38),N$1,0)</f>
        <v>6.6000000000000005</v>
      </c>
      <c r="O31" s="3">
        <f>IF(AND($C31&gt;=0,$C31&lt;=入力!$P$38),O$1,0)</f>
        <v>1.6500000000000001</v>
      </c>
      <c r="P31" s="3">
        <f>IF(AND($C31&gt;=0,$C31&lt;=入力!$P$38),P$1,0)</f>
        <v>1.3200000000000003</v>
      </c>
      <c r="Q31" s="3">
        <f>IF(AND($C31&gt;=0,$C31&lt;=入力!$P$38),Q$1,0)</f>
        <v>0.82500000000000007</v>
      </c>
      <c r="R31" s="3"/>
      <c r="S31" s="14"/>
      <c r="T31" s="18">
        <f t="shared" si="1"/>
        <v>28.215000000000003</v>
      </c>
      <c r="U31" s="24">
        <f t="shared" si="2"/>
        <v>-28.215000000000003</v>
      </c>
      <c r="V31" s="5"/>
      <c r="W31" s="3">
        <f>IF(AND($C31&gt;=10,$C31&lt;=入力!$P$38),W$1,0)</f>
        <v>2.4000000000000004</v>
      </c>
      <c r="X31" s="3">
        <f>IFERROR(VLOOKUP($C31,学費計算!$C:$R,学費計算!D$1,0),0)</f>
        <v>0</v>
      </c>
      <c r="Y31" s="3">
        <f>IFERROR(VLOOKUP($C31,学費計算!$C:$R,学費計算!E$1,0),0)</f>
        <v>0</v>
      </c>
      <c r="Z31" s="3">
        <f>IFERROR(VLOOKUP($C31,学費計算!$C:$R,学費計算!F$1,0),0)</f>
        <v>53.58</v>
      </c>
      <c r="AA31" s="3">
        <f>IFERROR(VLOOKUP($C31,学費計算!$C:$R,学費計算!G$1,0),0)</f>
        <v>0</v>
      </c>
      <c r="AB31" s="14"/>
      <c r="AC31" s="18">
        <f t="shared" si="3"/>
        <v>55.98</v>
      </c>
      <c r="AD31" s="24">
        <f t="shared" si="4"/>
        <v>-84.194999999999993</v>
      </c>
      <c r="AE31" s="5">
        <f>IF(AND($C31&gt;=0,$C31&lt;=入力!$P$36),AE$1,0)</f>
        <v>0</v>
      </c>
      <c r="AF31" s="3"/>
      <c r="AG31" s="3"/>
      <c r="AH31" s="3"/>
      <c r="AI31" s="3"/>
      <c r="AJ31" s="14"/>
      <c r="AK31" s="18">
        <f t="shared" si="7"/>
        <v>0</v>
      </c>
      <c r="AL31" s="24">
        <f t="shared" si="5"/>
        <v>-84.194999999999993</v>
      </c>
      <c r="AM31" s="24">
        <f t="shared" si="6"/>
        <v>-1302.4929</v>
      </c>
    </row>
    <row r="32" spans="2:44" x14ac:dyDescent="0.25">
      <c r="B32" s="5">
        <f t="shared" si="8"/>
        <v>45</v>
      </c>
      <c r="C32" s="3">
        <f t="shared" si="9"/>
        <v>22</v>
      </c>
      <c r="D32" s="34"/>
      <c r="E32" s="3">
        <f>IF(親1!D32&lt;=833.3+42*親1!AS32,IF(AND(C32&gt;=0,C32&lt;=3),1.5*12,IF(AND(C32&gt;3,C32&lt;=15),1*12,0)),IF(AND(C32&gt;=0,C32&lt;=15),0.5*12,0))</f>
        <v>0</v>
      </c>
      <c r="F32" s="3"/>
      <c r="G32" s="3"/>
      <c r="H32" s="3"/>
      <c r="I32" s="14"/>
      <c r="J32" s="24">
        <f t="shared" si="0"/>
        <v>0</v>
      </c>
      <c r="K32" s="5"/>
      <c r="L32" s="3"/>
      <c r="M32" s="3">
        <f>IF(AND($C32&gt;=0,$C32&lt;=入力!$P$38),M$1,0)</f>
        <v>17.820000000000004</v>
      </c>
      <c r="N32" s="3">
        <f>IF(AND($C32&gt;=0,$C32&lt;=入力!$P$38),N$1,0)</f>
        <v>6.6000000000000005</v>
      </c>
      <c r="O32" s="3">
        <f>IF(AND($C32&gt;=0,$C32&lt;=入力!$P$38),O$1,0)</f>
        <v>1.6500000000000001</v>
      </c>
      <c r="P32" s="3">
        <f>IF(AND($C32&gt;=0,$C32&lt;=入力!$P$38),P$1,0)</f>
        <v>1.3200000000000003</v>
      </c>
      <c r="Q32" s="3">
        <f>IF(AND($C32&gt;=0,$C32&lt;=入力!$P$38),Q$1,0)</f>
        <v>0.82500000000000007</v>
      </c>
      <c r="R32" s="3"/>
      <c r="S32" s="14"/>
      <c r="T32" s="18">
        <f t="shared" si="1"/>
        <v>28.215000000000003</v>
      </c>
      <c r="U32" s="24">
        <f t="shared" si="2"/>
        <v>-28.215000000000003</v>
      </c>
      <c r="V32" s="5"/>
      <c r="W32" s="3">
        <f>IF(AND($C32&gt;=10,$C32&lt;=入力!$P$38),W$1,0)</f>
        <v>2.4000000000000004</v>
      </c>
      <c r="X32" s="3">
        <f>IFERROR(VLOOKUP($C32,学費計算!$C:$R,学費計算!D$1,0),0)</f>
        <v>0</v>
      </c>
      <c r="Y32" s="3">
        <f>IFERROR(VLOOKUP($C32,学費計算!$C:$R,学費計算!E$1,0),0)</f>
        <v>0</v>
      </c>
      <c r="Z32" s="3">
        <f>IFERROR(VLOOKUP($C32,学費計算!$C:$R,学費計算!F$1,0),0)</f>
        <v>0</v>
      </c>
      <c r="AA32" s="3">
        <f>IFERROR(VLOOKUP($C32,学費計算!$C:$R,学費計算!G$1,0),0)</f>
        <v>0</v>
      </c>
      <c r="AB32" s="14"/>
      <c r="AC32" s="18">
        <f t="shared" si="3"/>
        <v>2.4000000000000004</v>
      </c>
      <c r="AD32" s="24">
        <f t="shared" si="4"/>
        <v>-30.615000000000002</v>
      </c>
      <c r="AE32" s="5">
        <f>IF(AND($C32&gt;=0,$C32&lt;=入力!$P$36),AE$1,0)</f>
        <v>0</v>
      </c>
      <c r="AF32" s="3"/>
      <c r="AG32" s="3"/>
      <c r="AH32" s="3"/>
      <c r="AI32" s="3"/>
      <c r="AJ32" s="14"/>
      <c r="AK32" s="18">
        <f t="shared" si="7"/>
        <v>0</v>
      </c>
      <c r="AL32" s="24">
        <f t="shared" si="5"/>
        <v>-30.615000000000002</v>
      </c>
      <c r="AM32" s="24">
        <f t="shared" si="6"/>
        <v>-1333.1079</v>
      </c>
    </row>
    <row r="33" spans="2:39" x14ac:dyDescent="0.25">
      <c r="B33" s="5">
        <f t="shared" si="8"/>
        <v>46</v>
      </c>
      <c r="C33" s="3">
        <f t="shared" si="9"/>
        <v>23</v>
      </c>
      <c r="D33" s="34"/>
      <c r="E33" s="3">
        <f>IF(親1!D33&lt;=833.3+42*親1!AS33,IF(AND(C33&gt;=0,C33&lt;=3),1.5*12,IF(AND(C33&gt;3,C33&lt;=15),1*12,0)),IF(AND(C33&gt;=0,C33&lt;=15),0.5*12,0))</f>
        <v>0</v>
      </c>
      <c r="F33" s="3"/>
      <c r="G33" s="3"/>
      <c r="H33" s="3"/>
      <c r="I33" s="14"/>
      <c r="J33" s="24">
        <f t="shared" si="0"/>
        <v>0</v>
      </c>
      <c r="K33" s="5"/>
      <c r="L33" s="3"/>
      <c r="M33" s="3">
        <f>IF(AND($C33&gt;=0,$C33&lt;=入力!$P$38),M$1,0)</f>
        <v>0</v>
      </c>
      <c r="N33" s="3">
        <f>IF(AND($C33&gt;=0,$C33&lt;=入力!$P$38),N$1,0)</f>
        <v>0</v>
      </c>
      <c r="O33" s="3">
        <f>IF(AND($C33&gt;=0,$C33&lt;=入力!$P$38),O$1,0)</f>
        <v>0</v>
      </c>
      <c r="P33" s="3">
        <f>IF(AND($C33&gt;=0,$C33&lt;=入力!$P$38),P$1,0)</f>
        <v>0</v>
      </c>
      <c r="Q33" s="3">
        <f>IF(AND($C33&gt;=0,$C33&lt;=入力!$P$38),Q$1,0)</f>
        <v>0</v>
      </c>
      <c r="R33" s="3"/>
      <c r="S33" s="14"/>
      <c r="T33" s="18">
        <f t="shared" si="1"/>
        <v>0</v>
      </c>
      <c r="U33" s="24">
        <f t="shared" si="2"/>
        <v>0</v>
      </c>
      <c r="V33" s="5"/>
      <c r="W33" s="3">
        <f>IF(AND($C33&gt;=10,$C33&lt;=入力!$P$38),W$1,0)</f>
        <v>0</v>
      </c>
      <c r="X33" s="3">
        <f>IFERROR(VLOOKUP($C33,学費計算!$C:$R,学費計算!D$1,0),0)</f>
        <v>0</v>
      </c>
      <c r="Y33" s="3">
        <f>IFERROR(VLOOKUP($C33,学費計算!$C:$R,学費計算!E$1,0),0)</f>
        <v>0</v>
      </c>
      <c r="Z33" s="3">
        <f>IFERROR(VLOOKUP($C33,学費計算!$C:$R,学費計算!F$1,0),0)</f>
        <v>0</v>
      </c>
      <c r="AA33" s="3">
        <f>IFERROR(VLOOKUP($C33,学費計算!$C:$R,学費計算!G$1,0),0)</f>
        <v>0</v>
      </c>
      <c r="AB33" s="14"/>
      <c r="AC33" s="18">
        <f t="shared" si="3"/>
        <v>0</v>
      </c>
      <c r="AD33" s="24">
        <f t="shared" si="4"/>
        <v>0</v>
      </c>
      <c r="AE33" s="5">
        <f>IF(AND($C33&gt;=0,$C33&lt;=入力!$P$36),AE$1,0)</f>
        <v>0</v>
      </c>
      <c r="AF33" s="3"/>
      <c r="AG33" s="3"/>
      <c r="AH33" s="3"/>
      <c r="AI33" s="3"/>
      <c r="AJ33" s="14"/>
      <c r="AK33" s="18">
        <f t="shared" si="7"/>
        <v>0</v>
      </c>
      <c r="AL33" s="24">
        <f t="shared" si="5"/>
        <v>0</v>
      </c>
      <c r="AM33" s="24">
        <f t="shared" si="6"/>
        <v>-1333.1079</v>
      </c>
    </row>
    <row r="34" spans="2:39" x14ac:dyDescent="0.25">
      <c r="B34" s="5">
        <f t="shared" si="8"/>
        <v>47</v>
      </c>
      <c r="C34" s="3">
        <f t="shared" si="9"/>
        <v>24</v>
      </c>
      <c r="D34" s="34"/>
      <c r="E34" s="3">
        <f>IF(親1!D34&lt;=833.3+42*親1!AS34,IF(AND(C34&gt;=0,C34&lt;=3),1.5*12,IF(AND(C34&gt;3,C34&lt;=15),1*12,0)),IF(AND(C34&gt;=0,C34&lt;=15),0.5*12,0))</f>
        <v>0</v>
      </c>
      <c r="F34" s="3"/>
      <c r="G34" s="3"/>
      <c r="H34" s="3"/>
      <c r="I34" s="14"/>
      <c r="J34" s="24">
        <f t="shared" si="0"/>
        <v>0</v>
      </c>
      <c r="K34" s="5"/>
      <c r="L34" s="3"/>
      <c r="M34" s="3">
        <f>IF(AND($C34&gt;=0,$C34&lt;=入力!$P$38),M$1,0)</f>
        <v>0</v>
      </c>
      <c r="N34" s="3">
        <f>IF(AND($C34&gt;=0,$C34&lt;=入力!$P$38),N$1,0)</f>
        <v>0</v>
      </c>
      <c r="O34" s="3">
        <f>IF(AND($C34&gt;=0,$C34&lt;=入力!$P$38),O$1,0)</f>
        <v>0</v>
      </c>
      <c r="P34" s="3">
        <f>IF(AND($C34&gt;=0,$C34&lt;=入力!$P$38),P$1,0)</f>
        <v>0</v>
      </c>
      <c r="Q34" s="3">
        <f>IF(AND($C34&gt;=0,$C34&lt;=入力!$P$38),Q$1,0)</f>
        <v>0</v>
      </c>
      <c r="R34" s="3"/>
      <c r="S34" s="14"/>
      <c r="T34" s="18">
        <f t="shared" si="1"/>
        <v>0</v>
      </c>
      <c r="U34" s="24">
        <f t="shared" si="2"/>
        <v>0</v>
      </c>
      <c r="V34" s="5"/>
      <c r="W34" s="3">
        <f>IF(AND($C34&gt;=10,$C34&lt;=入力!$P$38),W$1,0)</f>
        <v>0</v>
      </c>
      <c r="X34" s="3">
        <f>IFERROR(VLOOKUP($C34,学費計算!$C:$R,学費計算!D$1,0),0)</f>
        <v>0</v>
      </c>
      <c r="Y34" s="3">
        <f>IFERROR(VLOOKUP($C34,学費計算!$C:$R,学費計算!E$1,0),0)</f>
        <v>0</v>
      </c>
      <c r="Z34" s="3">
        <f>IFERROR(VLOOKUP($C34,学費計算!$C:$R,学費計算!F$1,0),0)</f>
        <v>0</v>
      </c>
      <c r="AA34" s="3">
        <f>IFERROR(VLOOKUP($C34,学費計算!$C:$R,学費計算!G$1,0),0)</f>
        <v>0</v>
      </c>
      <c r="AB34" s="14"/>
      <c r="AC34" s="18">
        <f t="shared" si="3"/>
        <v>0</v>
      </c>
      <c r="AD34" s="24">
        <f t="shared" si="4"/>
        <v>0</v>
      </c>
      <c r="AE34" s="5">
        <f>IF(AND($C34&gt;=0,$C34&lt;=入力!$P$36),AE$1,0)</f>
        <v>0</v>
      </c>
      <c r="AF34" s="3"/>
      <c r="AG34" s="3"/>
      <c r="AH34" s="3"/>
      <c r="AI34" s="3"/>
      <c r="AJ34" s="14"/>
      <c r="AK34" s="18">
        <f t="shared" si="7"/>
        <v>0</v>
      </c>
      <c r="AL34" s="24">
        <f t="shared" si="5"/>
        <v>0</v>
      </c>
      <c r="AM34" s="24">
        <f t="shared" si="6"/>
        <v>-1333.1079</v>
      </c>
    </row>
    <row r="35" spans="2:39" x14ac:dyDescent="0.25">
      <c r="B35" s="5">
        <f t="shared" si="8"/>
        <v>48</v>
      </c>
      <c r="C35" s="3">
        <f t="shared" si="9"/>
        <v>25</v>
      </c>
      <c r="D35" s="34"/>
      <c r="E35" s="3">
        <f>IF(親1!D35&lt;=833.3+42*親1!AS35,IF(AND(C35&gt;=0,C35&lt;=3),1.5*12,IF(AND(C35&gt;3,C35&lt;=15),1*12,0)),IF(AND(C35&gt;=0,C35&lt;=15),0.5*12,0))</f>
        <v>0</v>
      </c>
      <c r="F35" s="3"/>
      <c r="G35" s="3"/>
      <c r="H35" s="3"/>
      <c r="I35" s="14"/>
      <c r="J35" s="24">
        <f t="shared" si="0"/>
        <v>0</v>
      </c>
      <c r="K35" s="5"/>
      <c r="L35" s="3"/>
      <c r="M35" s="3">
        <f>IF(AND($C35&gt;=0,$C35&lt;=入力!$P$38),M$1,0)</f>
        <v>0</v>
      </c>
      <c r="N35" s="3">
        <f>IF(AND($C35&gt;=0,$C35&lt;=入力!$P$38),N$1,0)</f>
        <v>0</v>
      </c>
      <c r="O35" s="3">
        <f>IF(AND($C35&gt;=0,$C35&lt;=入力!$P$38),O$1,0)</f>
        <v>0</v>
      </c>
      <c r="P35" s="3">
        <f>IF(AND($C35&gt;=0,$C35&lt;=入力!$P$38),P$1,0)</f>
        <v>0</v>
      </c>
      <c r="Q35" s="3">
        <f>IF(AND($C35&gt;=0,$C35&lt;=入力!$P$38),Q$1,0)</f>
        <v>0</v>
      </c>
      <c r="R35" s="3"/>
      <c r="S35" s="14"/>
      <c r="T35" s="18">
        <f t="shared" si="1"/>
        <v>0</v>
      </c>
      <c r="U35" s="24">
        <f t="shared" si="2"/>
        <v>0</v>
      </c>
      <c r="V35" s="5"/>
      <c r="W35" s="3">
        <f>IF(AND($C35&gt;=10,$C35&lt;=入力!$P$38),W$1,0)</f>
        <v>0</v>
      </c>
      <c r="X35" s="3">
        <f>IFERROR(VLOOKUP($C35,学費計算!$C:$R,学費計算!D$1,0),0)</f>
        <v>0</v>
      </c>
      <c r="Y35" s="3">
        <f>IFERROR(VLOOKUP($C35,学費計算!$C:$R,学費計算!E$1,0),0)</f>
        <v>0</v>
      </c>
      <c r="Z35" s="3">
        <f>IFERROR(VLOOKUP($C35,学費計算!$C:$R,学費計算!F$1,0),0)</f>
        <v>0</v>
      </c>
      <c r="AA35" s="3">
        <f>IFERROR(VLOOKUP($C35,学費計算!$C:$R,学費計算!G$1,0),0)</f>
        <v>0</v>
      </c>
      <c r="AB35" s="14"/>
      <c r="AC35" s="18">
        <f t="shared" si="3"/>
        <v>0</v>
      </c>
      <c r="AD35" s="24">
        <f t="shared" si="4"/>
        <v>0</v>
      </c>
      <c r="AE35" s="5">
        <f>IF(AND($C35&gt;=0,$C35&lt;=入力!$P$36),AE$1,0)</f>
        <v>0</v>
      </c>
      <c r="AF35" s="3"/>
      <c r="AG35" s="3"/>
      <c r="AH35" s="3"/>
      <c r="AI35" s="3"/>
      <c r="AJ35" s="14"/>
      <c r="AK35" s="18">
        <f t="shared" si="7"/>
        <v>0</v>
      </c>
      <c r="AL35" s="24">
        <f t="shared" si="5"/>
        <v>0</v>
      </c>
      <c r="AM35" s="24">
        <f t="shared" si="6"/>
        <v>-1333.1079</v>
      </c>
    </row>
    <row r="36" spans="2:39" x14ac:dyDescent="0.25">
      <c r="B36" s="5">
        <f t="shared" si="8"/>
        <v>49</v>
      </c>
      <c r="C36" s="3">
        <f t="shared" si="9"/>
        <v>26</v>
      </c>
      <c r="D36" s="34"/>
      <c r="E36" s="3">
        <f>IF(親1!D36&lt;=833.3+42*親1!AS36,IF(AND(C36&gt;=0,C36&lt;=3),1.5*12,IF(AND(C36&gt;3,C36&lt;=15),1*12,0)),IF(AND(C36&gt;=0,C36&lt;=15),0.5*12,0))</f>
        <v>0</v>
      </c>
      <c r="F36" s="3"/>
      <c r="G36" s="3"/>
      <c r="H36" s="3"/>
      <c r="I36" s="14"/>
      <c r="J36" s="24">
        <f t="shared" si="0"/>
        <v>0</v>
      </c>
      <c r="K36" s="5"/>
      <c r="L36" s="3"/>
      <c r="M36" s="3">
        <f>IF(AND($C36&gt;=0,$C36&lt;=入力!$P$38),M$1,0)</f>
        <v>0</v>
      </c>
      <c r="N36" s="3">
        <f>IF(AND($C36&gt;=0,$C36&lt;=入力!$P$38),N$1,0)</f>
        <v>0</v>
      </c>
      <c r="O36" s="3">
        <f>IF(AND($C36&gt;=0,$C36&lt;=入力!$P$38),O$1,0)</f>
        <v>0</v>
      </c>
      <c r="P36" s="3">
        <f>IF(AND($C36&gt;=0,$C36&lt;=入力!$P$38),P$1,0)</f>
        <v>0</v>
      </c>
      <c r="Q36" s="3">
        <f>IF(AND($C36&gt;=0,$C36&lt;=入力!$P$38),Q$1,0)</f>
        <v>0</v>
      </c>
      <c r="R36" s="3"/>
      <c r="S36" s="14"/>
      <c r="T36" s="18">
        <f t="shared" si="1"/>
        <v>0</v>
      </c>
      <c r="U36" s="24">
        <f t="shared" si="2"/>
        <v>0</v>
      </c>
      <c r="V36" s="5"/>
      <c r="W36" s="3">
        <f>IF(AND($C36&gt;=10,$C36&lt;=入力!$P$38),W$1,0)</f>
        <v>0</v>
      </c>
      <c r="X36" s="3">
        <f>IFERROR(VLOOKUP($C36,学費計算!$C:$R,学費計算!D$1,0),0)</f>
        <v>0</v>
      </c>
      <c r="Y36" s="3">
        <f>IFERROR(VLOOKUP($C36,学費計算!$C:$R,学費計算!E$1,0),0)</f>
        <v>0</v>
      </c>
      <c r="Z36" s="3">
        <f>IFERROR(VLOOKUP($C36,学費計算!$C:$R,学費計算!F$1,0),0)</f>
        <v>0</v>
      </c>
      <c r="AA36" s="3">
        <f>IFERROR(VLOOKUP($C36,学費計算!$C:$R,学費計算!G$1,0),0)</f>
        <v>0</v>
      </c>
      <c r="AB36" s="14"/>
      <c r="AC36" s="18">
        <f t="shared" si="3"/>
        <v>0</v>
      </c>
      <c r="AD36" s="24">
        <f t="shared" si="4"/>
        <v>0</v>
      </c>
      <c r="AE36" s="5">
        <f>IF(AND($C36&gt;=0,$C36&lt;=入力!$P$36),AE$1,0)</f>
        <v>0</v>
      </c>
      <c r="AF36" s="3"/>
      <c r="AG36" s="3"/>
      <c r="AH36" s="3"/>
      <c r="AI36" s="3"/>
      <c r="AJ36" s="14"/>
      <c r="AK36" s="18">
        <f t="shared" si="7"/>
        <v>0</v>
      </c>
      <c r="AL36" s="24">
        <f t="shared" si="5"/>
        <v>0</v>
      </c>
      <c r="AM36" s="24">
        <f t="shared" si="6"/>
        <v>-1333.1079</v>
      </c>
    </row>
    <row r="37" spans="2:39" x14ac:dyDescent="0.25">
      <c r="B37" s="5">
        <f t="shared" si="8"/>
        <v>50</v>
      </c>
      <c r="C37" s="3">
        <f t="shared" si="9"/>
        <v>27</v>
      </c>
      <c r="D37" s="34"/>
      <c r="E37" s="3">
        <f>IF(親1!D37&lt;=833.3+42*親1!AS37,IF(AND(C37&gt;=0,C37&lt;=3),1.5*12,IF(AND(C37&gt;3,C37&lt;=15),1*12,0)),IF(AND(C37&gt;=0,C37&lt;=15),0.5*12,0))</f>
        <v>0</v>
      </c>
      <c r="F37" s="3"/>
      <c r="G37" s="3"/>
      <c r="H37" s="3"/>
      <c r="I37" s="14"/>
      <c r="J37" s="24">
        <f t="shared" si="0"/>
        <v>0</v>
      </c>
      <c r="K37" s="5"/>
      <c r="L37" s="3"/>
      <c r="M37" s="3">
        <f>IF(AND($C37&gt;=0,$C37&lt;=入力!$P$38),M$1,0)</f>
        <v>0</v>
      </c>
      <c r="N37" s="3">
        <f>IF(AND($C37&gt;=0,$C37&lt;=入力!$P$38),N$1,0)</f>
        <v>0</v>
      </c>
      <c r="O37" s="3">
        <f>IF(AND($C37&gt;=0,$C37&lt;=入力!$P$38),O$1,0)</f>
        <v>0</v>
      </c>
      <c r="P37" s="3">
        <f>IF(AND($C37&gt;=0,$C37&lt;=入力!$P$38),P$1,0)</f>
        <v>0</v>
      </c>
      <c r="Q37" s="3">
        <f>IF(AND($C37&gt;=0,$C37&lt;=入力!$P$38),Q$1,0)</f>
        <v>0</v>
      </c>
      <c r="R37" s="3"/>
      <c r="S37" s="14"/>
      <c r="T37" s="18">
        <f t="shared" si="1"/>
        <v>0</v>
      </c>
      <c r="U37" s="24">
        <f t="shared" si="2"/>
        <v>0</v>
      </c>
      <c r="V37" s="5"/>
      <c r="W37" s="3">
        <f>IF(AND($C37&gt;=10,$C37&lt;=入力!$P$38),W$1,0)</f>
        <v>0</v>
      </c>
      <c r="X37" s="3">
        <f>IFERROR(VLOOKUP($C37,学費計算!$C:$R,学費計算!D$1,0),0)</f>
        <v>0</v>
      </c>
      <c r="Y37" s="3">
        <f>IFERROR(VLOOKUP($C37,学費計算!$C:$R,学費計算!E$1,0),0)</f>
        <v>0</v>
      </c>
      <c r="Z37" s="3">
        <f>IFERROR(VLOOKUP($C37,学費計算!$C:$R,学費計算!F$1,0),0)</f>
        <v>0</v>
      </c>
      <c r="AA37" s="3">
        <f>IFERROR(VLOOKUP($C37,学費計算!$C:$R,学費計算!G$1,0),0)</f>
        <v>0</v>
      </c>
      <c r="AB37" s="14"/>
      <c r="AC37" s="18">
        <f t="shared" si="3"/>
        <v>0</v>
      </c>
      <c r="AD37" s="24">
        <f t="shared" si="4"/>
        <v>0</v>
      </c>
      <c r="AE37" s="5">
        <f>IF(AND($C37&gt;=0,$C37&lt;=入力!$P$36),AE$1,0)</f>
        <v>0</v>
      </c>
      <c r="AF37" s="3"/>
      <c r="AG37" s="3"/>
      <c r="AH37" s="3"/>
      <c r="AI37" s="3"/>
      <c r="AJ37" s="14"/>
      <c r="AK37" s="18">
        <f t="shared" si="7"/>
        <v>0</v>
      </c>
      <c r="AL37" s="24">
        <f t="shared" si="5"/>
        <v>0</v>
      </c>
      <c r="AM37" s="24">
        <f t="shared" si="6"/>
        <v>-1333.1079</v>
      </c>
    </row>
    <row r="38" spans="2:39" x14ac:dyDescent="0.25">
      <c r="B38" s="5">
        <f t="shared" si="8"/>
        <v>51</v>
      </c>
      <c r="C38" s="3">
        <f t="shared" si="9"/>
        <v>28</v>
      </c>
      <c r="D38" s="34"/>
      <c r="E38" s="3">
        <f>IF(親1!D38&lt;=833.3+42*親1!AS38,IF(AND(C38&gt;=0,C38&lt;=3),1.5*12,IF(AND(C38&gt;3,C38&lt;=15),1*12,0)),IF(AND(C38&gt;=0,C38&lt;=15),0.5*12,0))</f>
        <v>0</v>
      </c>
      <c r="F38" s="3"/>
      <c r="G38" s="3"/>
      <c r="H38" s="3"/>
      <c r="I38" s="14"/>
      <c r="J38" s="24">
        <f t="shared" si="0"/>
        <v>0</v>
      </c>
      <c r="K38" s="5"/>
      <c r="L38" s="3"/>
      <c r="M38" s="3">
        <f>IF(AND($C38&gt;=0,$C38&lt;=入力!$P$38),M$1,0)</f>
        <v>0</v>
      </c>
      <c r="N38" s="3">
        <f>IF(AND($C38&gt;=0,$C38&lt;=入力!$P$38),N$1,0)</f>
        <v>0</v>
      </c>
      <c r="O38" s="3">
        <f>IF(AND($C38&gt;=0,$C38&lt;=入力!$P$38),O$1,0)</f>
        <v>0</v>
      </c>
      <c r="P38" s="3">
        <f>IF(AND($C38&gt;=0,$C38&lt;=入力!$P$38),P$1,0)</f>
        <v>0</v>
      </c>
      <c r="Q38" s="3">
        <f>IF(AND($C38&gt;=0,$C38&lt;=入力!$P$38),Q$1,0)</f>
        <v>0</v>
      </c>
      <c r="R38" s="3"/>
      <c r="S38" s="14"/>
      <c r="T38" s="18">
        <f t="shared" ref="T38:T69" si="10">SUM(K38:S38)</f>
        <v>0</v>
      </c>
      <c r="U38" s="24">
        <f t="shared" ref="U38:U69" si="11">J38-T38</f>
        <v>0</v>
      </c>
      <c r="V38" s="5"/>
      <c r="W38" s="3">
        <f>IF(AND($C38&gt;=10,$C38&lt;=入力!$P$38),W$1,0)</f>
        <v>0</v>
      </c>
      <c r="X38" s="3">
        <f>IFERROR(VLOOKUP($C38,学費計算!$C:$R,学費計算!D$1,0),0)</f>
        <v>0</v>
      </c>
      <c r="Y38" s="3">
        <f>IFERROR(VLOOKUP($C38,学費計算!$C:$R,学費計算!E$1,0),0)</f>
        <v>0</v>
      </c>
      <c r="Z38" s="3">
        <f>IFERROR(VLOOKUP($C38,学費計算!$C:$R,学費計算!F$1,0),0)</f>
        <v>0</v>
      </c>
      <c r="AA38" s="3">
        <f>IFERROR(VLOOKUP($C38,学費計算!$C:$R,学費計算!G$1,0),0)</f>
        <v>0</v>
      </c>
      <c r="AB38" s="14"/>
      <c r="AC38" s="18">
        <f t="shared" ref="AC38:AC69" si="12">SUM(V38:AB38)</f>
        <v>0</v>
      </c>
      <c r="AD38" s="24">
        <f t="shared" ref="AD38:AD69" si="13">U38-AC38</f>
        <v>0</v>
      </c>
      <c r="AE38" s="5">
        <f>IF(AND($C38&gt;=0,$C38&lt;=入力!$P$36),AE$1,0)</f>
        <v>0</v>
      </c>
      <c r="AF38" s="3"/>
      <c r="AG38" s="3"/>
      <c r="AH38" s="3"/>
      <c r="AI38" s="3"/>
      <c r="AJ38" s="14"/>
      <c r="AK38" s="18">
        <f t="shared" si="7"/>
        <v>0</v>
      </c>
      <c r="AL38" s="24">
        <f t="shared" si="5"/>
        <v>0</v>
      </c>
      <c r="AM38" s="24">
        <f t="shared" ref="AM38:AM69" si="14">AL38+AM37</f>
        <v>-1333.1079</v>
      </c>
    </row>
    <row r="39" spans="2:39" x14ac:dyDescent="0.25">
      <c r="B39" s="5">
        <f t="shared" si="8"/>
        <v>52</v>
      </c>
      <c r="C39" s="3">
        <f t="shared" si="9"/>
        <v>29</v>
      </c>
      <c r="D39" s="34"/>
      <c r="E39" s="3">
        <f>IF(親1!D39&lt;=833.3+42*親1!AS39,IF(AND(C39&gt;=0,C39&lt;=3),1.5*12,IF(AND(C39&gt;3,C39&lt;=15),1*12,0)),IF(AND(C39&gt;=0,C39&lt;=15),0.5*12,0))</f>
        <v>0</v>
      </c>
      <c r="F39" s="3"/>
      <c r="G39" s="3"/>
      <c r="H39" s="3"/>
      <c r="I39" s="14"/>
      <c r="J39" s="24">
        <f t="shared" si="0"/>
        <v>0</v>
      </c>
      <c r="K39" s="5"/>
      <c r="L39" s="3"/>
      <c r="M39" s="3">
        <f>IF(AND($C39&gt;=0,$C39&lt;=入力!$P$38),M$1,0)</f>
        <v>0</v>
      </c>
      <c r="N39" s="3">
        <f>IF(AND($C39&gt;=0,$C39&lt;=入力!$P$38),N$1,0)</f>
        <v>0</v>
      </c>
      <c r="O39" s="3">
        <f>IF(AND($C39&gt;=0,$C39&lt;=入力!$P$38),O$1,0)</f>
        <v>0</v>
      </c>
      <c r="P39" s="3">
        <f>IF(AND($C39&gt;=0,$C39&lt;=入力!$P$38),P$1,0)</f>
        <v>0</v>
      </c>
      <c r="Q39" s="3">
        <f>IF(AND($C39&gt;=0,$C39&lt;=入力!$P$38),Q$1,0)</f>
        <v>0</v>
      </c>
      <c r="R39" s="3"/>
      <c r="S39" s="14"/>
      <c r="T39" s="18">
        <f t="shared" si="10"/>
        <v>0</v>
      </c>
      <c r="U39" s="24">
        <f t="shared" si="11"/>
        <v>0</v>
      </c>
      <c r="V39" s="5"/>
      <c r="W39" s="3">
        <f>IF(AND($C39&gt;=10,$C39&lt;=入力!$P$38),W$1,0)</f>
        <v>0</v>
      </c>
      <c r="X39" s="3">
        <f>IFERROR(VLOOKUP($C39,学費計算!$C:$R,学費計算!D$1,0),0)</f>
        <v>0</v>
      </c>
      <c r="Y39" s="3">
        <f>IFERROR(VLOOKUP($C39,学費計算!$C:$R,学費計算!E$1,0),0)</f>
        <v>0</v>
      </c>
      <c r="Z39" s="3">
        <f>IFERROR(VLOOKUP($C39,学費計算!$C:$R,学費計算!F$1,0),0)</f>
        <v>0</v>
      </c>
      <c r="AA39" s="3">
        <f>IFERROR(VLOOKUP($C39,学費計算!$C:$R,学費計算!G$1,0),0)</f>
        <v>0</v>
      </c>
      <c r="AB39" s="14"/>
      <c r="AC39" s="18">
        <f t="shared" si="12"/>
        <v>0</v>
      </c>
      <c r="AD39" s="24">
        <f t="shared" si="13"/>
        <v>0</v>
      </c>
      <c r="AE39" s="5">
        <f>IF(AND($C39&gt;=0,$C39&lt;=入力!$P$36),AE$1,0)</f>
        <v>0</v>
      </c>
      <c r="AF39" s="3"/>
      <c r="AG39" s="3"/>
      <c r="AH39" s="3"/>
      <c r="AI39" s="3"/>
      <c r="AJ39" s="14"/>
      <c r="AK39" s="18">
        <f t="shared" si="7"/>
        <v>0</v>
      </c>
      <c r="AL39" s="24">
        <f t="shared" si="5"/>
        <v>0</v>
      </c>
      <c r="AM39" s="24">
        <f t="shared" si="14"/>
        <v>-1333.1079</v>
      </c>
    </row>
    <row r="40" spans="2:39" x14ac:dyDescent="0.25">
      <c r="B40" s="5">
        <f t="shared" ref="B40:B70" si="15">B39+1</f>
        <v>53</v>
      </c>
      <c r="C40" s="3">
        <f t="shared" si="9"/>
        <v>30</v>
      </c>
      <c r="D40" s="34"/>
      <c r="E40" s="3">
        <f>IF(親1!D40&lt;=833.3+42*親1!AS40,IF(AND(C40&gt;=0,C40&lt;=3),1.5*12,IF(AND(C40&gt;3,C40&lt;=15),1*12,0)),IF(AND(C40&gt;=0,C40&lt;=15),0.5*12,0))</f>
        <v>0</v>
      </c>
      <c r="F40" s="3"/>
      <c r="G40" s="3"/>
      <c r="H40" s="3"/>
      <c r="I40" s="14"/>
      <c r="J40" s="24">
        <f t="shared" ref="J40:J70" si="16">SUM(E40:I40)</f>
        <v>0</v>
      </c>
      <c r="K40" s="5"/>
      <c r="L40" s="3"/>
      <c r="M40" s="3">
        <f>IF(AND($C40&gt;=0,$C40&lt;=入力!$P$38),M$1,0)</f>
        <v>0</v>
      </c>
      <c r="N40" s="3">
        <f>IF(AND($C40&gt;=0,$C40&lt;=入力!$P$38),N$1,0)</f>
        <v>0</v>
      </c>
      <c r="O40" s="3">
        <f>IF(AND($C40&gt;=0,$C40&lt;=入力!$P$38),O$1,0)</f>
        <v>0</v>
      </c>
      <c r="P40" s="3">
        <f>IF(AND($C40&gt;=0,$C40&lt;=入力!$P$38),P$1,0)</f>
        <v>0</v>
      </c>
      <c r="Q40" s="3">
        <f>IF(AND($C40&gt;=0,$C40&lt;=入力!$P$38),Q$1,0)</f>
        <v>0</v>
      </c>
      <c r="R40" s="3"/>
      <c r="S40" s="14"/>
      <c r="T40" s="18">
        <f t="shared" si="10"/>
        <v>0</v>
      </c>
      <c r="U40" s="24">
        <f t="shared" si="11"/>
        <v>0</v>
      </c>
      <c r="V40" s="5"/>
      <c r="W40" s="3">
        <f>IF(AND($C40&gt;=10,$C40&lt;=入力!$P$38),W$1,0)</f>
        <v>0</v>
      </c>
      <c r="X40" s="3">
        <f>IFERROR(VLOOKUP($C40,学費計算!$C:$R,学費計算!D$1,0),0)</f>
        <v>0</v>
      </c>
      <c r="Y40" s="3">
        <f>IFERROR(VLOOKUP($C40,学費計算!$C:$R,学費計算!E$1,0),0)</f>
        <v>0</v>
      </c>
      <c r="Z40" s="3">
        <f>IFERROR(VLOOKUP($C40,学費計算!$C:$R,学費計算!F$1,0),0)</f>
        <v>0</v>
      </c>
      <c r="AA40" s="3">
        <f>IFERROR(VLOOKUP($C40,学費計算!$C:$R,学費計算!G$1,0),0)</f>
        <v>0</v>
      </c>
      <c r="AB40" s="14"/>
      <c r="AC40" s="18">
        <f t="shared" si="12"/>
        <v>0</v>
      </c>
      <c r="AD40" s="24">
        <f t="shared" si="13"/>
        <v>0</v>
      </c>
      <c r="AE40" s="5">
        <f>IF(AND($C40&gt;=0,$C40&lt;=入力!$P$36),AE$1,0)</f>
        <v>0</v>
      </c>
      <c r="AF40" s="3"/>
      <c r="AG40" s="3"/>
      <c r="AH40" s="3"/>
      <c r="AI40" s="3"/>
      <c r="AJ40" s="14"/>
      <c r="AK40" s="18">
        <f t="shared" si="7"/>
        <v>0</v>
      </c>
      <c r="AL40" s="24">
        <f t="shared" si="5"/>
        <v>0</v>
      </c>
      <c r="AM40" s="24">
        <f t="shared" si="14"/>
        <v>-1333.1079</v>
      </c>
    </row>
    <row r="41" spans="2:39" x14ac:dyDescent="0.25">
      <c r="B41" s="5">
        <f t="shared" si="15"/>
        <v>54</v>
      </c>
      <c r="C41" s="3">
        <f t="shared" si="9"/>
        <v>31</v>
      </c>
      <c r="D41" s="34"/>
      <c r="E41" s="3">
        <f>IF(親1!D41&lt;=833.3+42*親1!AS41,IF(AND(C41&gt;=0,C41&lt;=3),1.5*12,IF(AND(C41&gt;3,C41&lt;=15),1*12,0)),IF(AND(C41&gt;=0,C41&lt;=15),0.5*12,0))</f>
        <v>0</v>
      </c>
      <c r="F41" s="3"/>
      <c r="G41" s="3"/>
      <c r="H41" s="3"/>
      <c r="I41" s="14"/>
      <c r="J41" s="24">
        <f t="shared" si="16"/>
        <v>0</v>
      </c>
      <c r="K41" s="5"/>
      <c r="L41" s="3"/>
      <c r="M41" s="3">
        <f>IF(AND($C41&gt;=0,$C41&lt;=入力!$P$38),M$1,0)</f>
        <v>0</v>
      </c>
      <c r="N41" s="3">
        <f>IF(AND($C41&gt;=0,$C41&lt;=入力!$P$38),N$1,0)</f>
        <v>0</v>
      </c>
      <c r="O41" s="3">
        <f>IF(AND($C41&gt;=0,$C41&lt;=入力!$P$38),O$1,0)</f>
        <v>0</v>
      </c>
      <c r="P41" s="3">
        <f>IF(AND($C41&gt;=0,$C41&lt;=入力!$P$38),P$1,0)</f>
        <v>0</v>
      </c>
      <c r="Q41" s="3">
        <f>IF(AND($C41&gt;=0,$C41&lt;=入力!$P$38),Q$1,0)</f>
        <v>0</v>
      </c>
      <c r="R41" s="3"/>
      <c r="S41" s="14"/>
      <c r="T41" s="18">
        <f t="shared" si="10"/>
        <v>0</v>
      </c>
      <c r="U41" s="24">
        <f t="shared" si="11"/>
        <v>0</v>
      </c>
      <c r="V41" s="5"/>
      <c r="W41" s="3">
        <f>IF(AND($C41&gt;=10,$C41&lt;=入力!$P$38),W$1,0)</f>
        <v>0</v>
      </c>
      <c r="X41" s="3">
        <f>IFERROR(VLOOKUP($C41,学費計算!$C:$R,学費計算!D$1,0),0)</f>
        <v>0</v>
      </c>
      <c r="Y41" s="3">
        <f>IFERROR(VLOOKUP($C41,学費計算!$C:$R,学費計算!E$1,0),0)</f>
        <v>0</v>
      </c>
      <c r="Z41" s="3">
        <f>IFERROR(VLOOKUP($C41,学費計算!$C:$R,学費計算!F$1,0),0)</f>
        <v>0</v>
      </c>
      <c r="AA41" s="3">
        <f>IFERROR(VLOOKUP($C41,学費計算!$C:$R,学費計算!G$1,0),0)</f>
        <v>0</v>
      </c>
      <c r="AB41" s="14"/>
      <c r="AC41" s="18">
        <f t="shared" si="12"/>
        <v>0</v>
      </c>
      <c r="AD41" s="24">
        <f t="shared" si="13"/>
        <v>0</v>
      </c>
      <c r="AE41" s="5">
        <f>IF(AND($C41&gt;=0,$C41&lt;=入力!$P$36),AE$1,0)</f>
        <v>0</v>
      </c>
      <c r="AF41" s="3"/>
      <c r="AG41" s="3"/>
      <c r="AH41" s="3"/>
      <c r="AI41" s="3"/>
      <c r="AJ41" s="14"/>
      <c r="AK41" s="18">
        <f t="shared" si="7"/>
        <v>0</v>
      </c>
      <c r="AL41" s="24">
        <f t="shared" si="5"/>
        <v>0</v>
      </c>
      <c r="AM41" s="24">
        <f t="shared" si="14"/>
        <v>-1333.1079</v>
      </c>
    </row>
    <row r="42" spans="2:39" x14ac:dyDescent="0.25">
      <c r="B42" s="5">
        <f t="shared" si="15"/>
        <v>55</v>
      </c>
      <c r="C42" s="3">
        <f t="shared" si="9"/>
        <v>32</v>
      </c>
      <c r="D42" s="34"/>
      <c r="E42" s="3">
        <f>IF(親1!D42&lt;=833.3+42*親1!AS42,IF(AND(C42&gt;=0,C42&lt;=3),1.5*12,IF(AND(C42&gt;3,C42&lt;=15),1*12,0)),IF(AND(C42&gt;=0,C42&lt;=15),0.5*12,0))</f>
        <v>0</v>
      </c>
      <c r="F42" s="3"/>
      <c r="G42" s="3"/>
      <c r="H42" s="3"/>
      <c r="I42" s="14"/>
      <c r="J42" s="24">
        <f t="shared" si="16"/>
        <v>0</v>
      </c>
      <c r="K42" s="5"/>
      <c r="L42" s="3"/>
      <c r="M42" s="3">
        <f>IF(AND($C42&gt;=0,$C42&lt;=入力!$P$38),M$1,0)</f>
        <v>0</v>
      </c>
      <c r="N42" s="3">
        <f>IF(AND($C42&gt;=0,$C42&lt;=入力!$P$38),N$1,0)</f>
        <v>0</v>
      </c>
      <c r="O42" s="3">
        <f>IF(AND($C42&gt;=0,$C42&lt;=入力!$P$38),O$1,0)</f>
        <v>0</v>
      </c>
      <c r="P42" s="3">
        <f>IF(AND($C42&gt;=0,$C42&lt;=入力!$P$38),P$1,0)</f>
        <v>0</v>
      </c>
      <c r="Q42" s="3">
        <f>IF(AND($C42&gt;=0,$C42&lt;=入力!$P$38),Q$1,0)</f>
        <v>0</v>
      </c>
      <c r="R42" s="3"/>
      <c r="S42" s="14"/>
      <c r="T42" s="18">
        <f t="shared" si="10"/>
        <v>0</v>
      </c>
      <c r="U42" s="24">
        <f t="shared" si="11"/>
        <v>0</v>
      </c>
      <c r="V42" s="5"/>
      <c r="W42" s="3">
        <f>IF(AND($C42&gt;=10,$C42&lt;=入力!$P$38),W$1,0)</f>
        <v>0</v>
      </c>
      <c r="X42" s="3">
        <f>IFERROR(VLOOKUP($C42,学費計算!$C:$R,学費計算!D$1,0),0)</f>
        <v>0</v>
      </c>
      <c r="Y42" s="3">
        <f>IFERROR(VLOOKUP($C42,学費計算!$C:$R,学費計算!E$1,0),0)</f>
        <v>0</v>
      </c>
      <c r="Z42" s="3">
        <f>IFERROR(VLOOKUP($C42,学費計算!$C:$R,学費計算!F$1,0),0)</f>
        <v>0</v>
      </c>
      <c r="AA42" s="3">
        <f>IFERROR(VLOOKUP($C42,学費計算!$C:$R,学費計算!G$1,0),0)</f>
        <v>0</v>
      </c>
      <c r="AB42" s="14"/>
      <c r="AC42" s="18">
        <f t="shared" si="12"/>
        <v>0</v>
      </c>
      <c r="AD42" s="24">
        <f t="shared" si="13"/>
        <v>0</v>
      </c>
      <c r="AE42" s="5">
        <f>IF(AND($C42&gt;=0,$C42&lt;=入力!$P$36),AE$1,0)</f>
        <v>0</v>
      </c>
      <c r="AF42" s="3"/>
      <c r="AG42" s="3"/>
      <c r="AH42" s="3"/>
      <c r="AI42" s="3"/>
      <c r="AJ42" s="14"/>
      <c r="AK42" s="18">
        <f t="shared" si="7"/>
        <v>0</v>
      </c>
      <c r="AL42" s="24">
        <f t="shared" si="5"/>
        <v>0</v>
      </c>
      <c r="AM42" s="24">
        <f t="shared" si="14"/>
        <v>-1333.1079</v>
      </c>
    </row>
    <row r="43" spans="2:39" x14ac:dyDescent="0.25">
      <c r="B43" s="5">
        <f t="shared" si="15"/>
        <v>56</v>
      </c>
      <c r="C43" s="3">
        <f t="shared" si="9"/>
        <v>33</v>
      </c>
      <c r="D43" s="34"/>
      <c r="E43" s="3">
        <f>IF(親1!D43&lt;=833.3+42*親1!AS43,IF(AND(C43&gt;=0,C43&lt;=3),1.5*12,IF(AND(C43&gt;3,C43&lt;=15),1*12,0)),IF(AND(C43&gt;=0,C43&lt;=15),0.5*12,0))</f>
        <v>0</v>
      </c>
      <c r="F43" s="3"/>
      <c r="G43" s="3"/>
      <c r="H43" s="3"/>
      <c r="I43" s="14"/>
      <c r="J43" s="24">
        <f t="shared" si="16"/>
        <v>0</v>
      </c>
      <c r="K43" s="5"/>
      <c r="L43" s="3"/>
      <c r="M43" s="3">
        <f>IF(AND($C43&gt;=0,$C43&lt;=入力!$P$38),M$1,0)</f>
        <v>0</v>
      </c>
      <c r="N43" s="3">
        <f>IF(AND($C43&gt;=0,$C43&lt;=入力!$P$38),N$1,0)</f>
        <v>0</v>
      </c>
      <c r="O43" s="3">
        <f>IF(AND($C43&gt;=0,$C43&lt;=入力!$P$38),O$1,0)</f>
        <v>0</v>
      </c>
      <c r="P43" s="3">
        <f>IF(AND($C43&gt;=0,$C43&lt;=入力!$P$38),P$1,0)</f>
        <v>0</v>
      </c>
      <c r="Q43" s="3">
        <f>IF(AND($C43&gt;=0,$C43&lt;=入力!$P$38),Q$1,0)</f>
        <v>0</v>
      </c>
      <c r="R43" s="3"/>
      <c r="S43" s="14"/>
      <c r="T43" s="18">
        <f t="shared" si="10"/>
        <v>0</v>
      </c>
      <c r="U43" s="24">
        <f t="shared" si="11"/>
        <v>0</v>
      </c>
      <c r="V43" s="5"/>
      <c r="W43" s="3">
        <f>IF(AND($C43&gt;=10,$C43&lt;=入力!$P$38),W$1,0)</f>
        <v>0</v>
      </c>
      <c r="X43" s="3">
        <f>IFERROR(VLOOKUP($C43,学費計算!$C:$R,学費計算!D$1,0),0)</f>
        <v>0</v>
      </c>
      <c r="Y43" s="3">
        <f>IFERROR(VLOOKUP($C43,学費計算!$C:$R,学費計算!E$1,0),0)</f>
        <v>0</v>
      </c>
      <c r="Z43" s="3">
        <f>IFERROR(VLOOKUP($C43,学費計算!$C:$R,学費計算!F$1,0),0)</f>
        <v>0</v>
      </c>
      <c r="AA43" s="3">
        <f>IFERROR(VLOOKUP($C43,学費計算!$C:$R,学費計算!G$1,0),0)</f>
        <v>0</v>
      </c>
      <c r="AB43" s="14"/>
      <c r="AC43" s="18">
        <f t="shared" si="12"/>
        <v>0</v>
      </c>
      <c r="AD43" s="24">
        <f t="shared" si="13"/>
        <v>0</v>
      </c>
      <c r="AE43" s="5">
        <f>IF(AND($C43&gt;=0,$C43&lt;=入力!$P$36),AE$1,0)</f>
        <v>0</v>
      </c>
      <c r="AF43" s="3"/>
      <c r="AG43" s="3"/>
      <c r="AH43" s="3"/>
      <c r="AI43" s="3"/>
      <c r="AJ43" s="14"/>
      <c r="AK43" s="18">
        <f t="shared" si="7"/>
        <v>0</v>
      </c>
      <c r="AL43" s="24">
        <f t="shared" si="5"/>
        <v>0</v>
      </c>
      <c r="AM43" s="24">
        <f t="shared" si="14"/>
        <v>-1333.1079</v>
      </c>
    </row>
    <row r="44" spans="2:39" x14ac:dyDescent="0.25">
      <c r="B44" s="5">
        <f t="shared" si="15"/>
        <v>57</v>
      </c>
      <c r="C44" s="3">
        <f t="shared" si="9"/>
        <v>34</v>
      </c>
      <c r="D44" s="34"/>
      <c r="E44" s="3">
        <f>IF(親1!D44&lt;=833.3+42*親1!AS44,IF(AND(C44&gt;=0,C44&lt;=3),1.5*12,IF(AND(C44&gt;3,C44&lt;=15),1*12,0)),IF(AND(C44&gt;=0,C44&lt;=15),0.5*12,0))</f>
        <v>0</v>
      </c>
      <c r="F44" s="3"/>
      <c r="G44" s="3"/>
      <c r="H44" s="3"/>
      <c r="I44" s="14"/>
      <c r="J44" s="24">
        <f t="shared" si="16"/>
        <v>0</v>
      </c>
      <c r="K44" s="5"/>
      <c r="L44" s="3"/>
      <c r="M44" s="3">
        <f>IF(AND($C44&gt;=0,$C44&lt;=入力!$P$38),M$1,0)</f>
        <v>0</v>
      </c>
      <c r="N44" s="3">
        <f>IF(AND($C44&gt;=0,$C44&lt;=入力!$P$38),N$1,0)</f>
        <v>0</v>
      </c>
      <c r="O44" s="3">
        <f>IF(AND($C44&gt;=0,$C44&lt;=入力!$P$38),O$1,0)</f>
        <v>0</v>
      </c>
      <c r="P44" s="3">
        <f>IF(AND($C44&gt;=0,$C44&lt;=入力!$P$38),P$1,0)</f>
        <v>0</v>
      </c>
      <c r="Q44" s="3">
        <f>IF(AND($C44&gt;=0,$C44&lt;=入力!$P$38),Q$1,0)</f>
        <v>0</v>
      </c>
      <c r="R44" s="3"/>
      <c r="S44" s="14"/>
      <c r="T44" s="18">
        <f t="shared" si="10"/>
        <v>0</v>
      </c>
      <c r="U44" s="24">
        <f t="shared" si="11"/>
        <v>0</v>
      </c>
      <c r="V44" s="5"/>
      <c r="W44" s="3">
        <f>IF(AND($C44&gt;=10,$C44&lt;=入力!$P$38),W$1,0)</f>
        <v>0</v>
      </c>
      <c r="X44" s="3">
        <f>IFERROR(VLOOKUP($C44,学費計算!$C:$R,学費計算!D$1,0),0)</f>
        <v>0</v>
      </c>
      <c r="Y44" s="3">
        <f>IFERROR(VLOOKUP($C44,学費計算!$C:$R,学費計算!E$1,0),0)</f>
        <v>0</v>
      </c>
      <c r="Z44" s="3">
        <f>IFERROR(VLOOKUP($C44,学費計算!$C:$R,学費計算!F$1,0),0)</f>
        <v>0</v>
      </c>
      <c r="AA44" s="3">
        <f>IFERROR(VLOOKUP($C44,学費計算!$C:$R,学費計算!G$1,0),0)</f>
        <v>0</v>
      </c>
      <c r="AB44" s="14"/>
      <c r="AC44" s="18">
        <f t="shared" si="12"/>
        <v>0</v>
      </c>
      <c r="AD44" s="24">
        <f t="shared" si="13"/>
        <v>0</v>
      </c>
      <c r="AE44" s="5">
        <f>IF(AND($C44&gt;=0,$C44&lt;=入力!$P$36),AE$1,0)</f>
        <v>0</v>
      </c>
      <c r="AF44" s="3"/>
      <c r="AG44" s="3"/>
      <c r="AH44" s="3"/>
      <c r="AI44" s="3"/>
      <c r="AJ44" s="14"/>
      <c r="AK44" s="18">
        <f t="shared" si="7"/>
        <v>0</v>
      </c>
      <c r="AL44" s="24">
        <f t="shared" si="5"/>
        <v>0</v>
      </c>
      <c r="AM44" s="24">
        <f t="shared" si="14"/>
        <v>-1333.1079</v>
      </c>
    </row>
    <row r="45" spans="2:39" x14ac:dyDescent="0.25">
      <c r="B45" s="5">
        <f t="shared" si="15"/>
        <v>58</v>
      </c>
      <c r="C45" s="3">
        <f t="shared" si="9"/>
        <v>35</v>
      </c>
      <c r="D45" s="34"/>
      <c r="E45" s="3">
        <f>IF(親1!D45&lt;=833.3+42*親1!AS45,IF(AND(C45&gt;=0,C45&lt;=3),1.5*12,IF(AND(C45&gt;3,C45&lt;=15),1*12,0)),IF(AND(C45&gt;=0,C45&lt;=15),0.5*12,0))</f>
        <v>0</v>
      </c>
      <c r="F45" s="3"/>
      <c r="G45" s="3"/>
      <c r="H45" s="3"/>
      <c r="I45" s="14"/>
      <c r="J45" s="24">
        <f t="shared" si="16"/>
        <v>0</v>
      </c>
      <c r="K45" s="5"/>
      <c r="L45" s="3"/>
      <c r="M45" s="3">
        <f>IF(AND($C45&gt;=0,$C45&lt;=入力!$P$38),M$1,0)</f>
        <v>0</v>
      </c>
      <c r="N45" s="3">
        <f>IF(AND($C45&gt;=0,$C45&lt;=入力!$P$38),N$1,0)</f>
        <v>0</v>
      </c>
      <c r="O45" s="3">
        <f>IF(AND($C45&gt;=0,$C45&lt;=入力!$P$38),O$1,0)</f>
        <v>0</v>
      </c>
      <c r="P45" s="3">
        <f>IF(AND($C45&gt;=0,$C45&lt;=入力!$P$38),P$1,0)</f>
        <v>0</v>
      </c>
      <c r="Q45" s="3">
        <f>IF(AND($C45&gt;=0,$C45&lt;=入力!$P$38),Q$1,0)</f>
        <v>0</v>
      </c>
      <c r="R45" s="3"/>
      <c r="S45" s="14"/>
      <c r="T45" s="18">
        <f t="shared" si="10"/>
        <v>0</v>
      </c>
      <c r="U45" s="24">
        <f t="shared" si="11"/>
        <v>0</v>
      </c>
      <c r="V45" s="5"/>
      <c r="W45" s="3">
        <f>IF(AND($C45&gt;=10,$C45&lt;=入力!$P$38),W$1,0)</f>
        <v>0</v>
      </c>
      <c r="X45" s="3">
        <f>IFERROR(VLOOKUP($C45,学費計算!$C:$R,学費計算!D$1,0),0)</f>
        <v>0</v>
      </c>
      <c r="Y45" s="3">
        <f>IFERROR(VLOOKUP($C45,学費計算!$C:$R,学費計算!E$1,0),0)</f>
        <v>0</v>
      </c>
      <c r="Z45" s="3">
        <f>IFERROR(VLOOKUP($C45,学費計算!$C:$R,学費計算!F$1,0),0)</f>
        <v>0</v>
      </c>
      <c r="AA45" s="3">
        <f>IFERROR(VLOOKUP($C45,学費計算!$C:$R,学費計算!G$1,0),0)</f>
        <v>0</v>
      </c>
      <c r="AB45" s="14"/>
      <c r="AC45" s="18">
        <f t="shared" si="12"/>
        <v>0</v>
      </c>
      <c r="AD45" s="24">
        <f t="shared" si="13"/>
        <v>0</v>
      </c>
      <c r="AE45" s="5">
        <f>IF(AND($C45&gt;=0,$C45&lt;=入力!$P$36),AE$1,0)</f>
        <v>0</v>
      </c>
      <c r="AF45" s="3"/>
      <c r="AG45" s="3"/>
      <c r="AH45" s="3"/>
      <c r="AI45" s="3"/>
      <c r="AJ45" s="14"/>
      <c r="AK45" s="18">
        <f t="shared" si="7"/>
        <v>0</v>
      </c>
      <c r="AL45" s="24">
        <f t="shared" si="5"/>
        <v>0</v>
      </c>
      <c r="AM45" s="24">
        <f t="shared" si="14"/>
        <v>-1333.1079</v>
      </c>
    </row>
    <row r="46" spans="2:39" x14ac:dyDescent="0.25">
      <c r="B46" s="5">
        <f t="shared" si="15"/>
        <v>59</v>
      </c>
      <c r="C46" s="3">
        <f t="shared" si="9"/>
        <v>36</v>
      </c>
      <c r="D46" s="34"/>
      <c r="E46" s="3">
        <f>IF(親1!D46&lt;=833.3+42*親1!AS46,IF(AND(C46&gt;=0,C46&lt;=3),1.5*12,IF(AND(C46&gt;3,C46&lt;=15),1*12,0)),IF(AND(C46&gt;=0,C46&lt;=15),0.5*12,0))</f>
        <v>0</v>
      </c>
      <c r="F46" s="3"/>
      <c r="G46" s="3"/>
      <c r="H46" s="3"/>
      <c r="I46" s="14"/>
      <c r="J46" s="24">
        <f t="shared" si="16"/>
        <v>0</v>
      </c>
      <c r="K46" s="5"/>
      <c r="L46" s="3"/>
      <c r="M46" s="3">
        <f>IF(AND($C46&gt;=0,$C46&lt;=入力!$P$38),M$1,0)</f>
        <v>0</v>
      </c>
      <c r="N46" s="3">
        <f>IF(AND($C46&gt;=0,$C46&lt;=入力!$P$38),N$1,0)</f>
        <v>0</v>
      </c>
      <c r="O46" s="3">
        <f>IF(AND($C46&gt;=0,$C46&lt;=入力!$P$38),O$1,0)</f>
        <v>0</v>
      </c>
      <c r="P46" s="3">
        <f>IF(AND($C46&gt;=0,$C46&lt;=入力!$P$38),P$1,0)</f>
        <v>0</v>
      </c>
      <c r="Q46" s="3">
        <f>IF(AND($C46&gt;=0,$C46&lt;=入力!$P$38),Q$1,0)</f>
        <v>0</v>
      </c>
      <c r="R46" s="3"/>
      <c r="S46" s="14"/>
      <c r="T46" s="18">
        <f t="shared" si="10"/>
        <v>0</v>
      </c>
      <c r="U46" s="24">
        <f t="shared" si="11"/>
        <v>0</v>
      </c>
      <c r="V46" s="5"/>
      <c r="W46" s="3">
        <f>IF(AND($C46&gt;=10,$C46&lt;=入力!$P$38),W$1,0)</f>
        <v>0</v>
      </c>
      <c r="X46" s="3">
        <f>IFERROR(VLOOKUP($C46,学費計算!$C:$R,学費計算!D$1,0),0)</f>
        <v>0</v>
      </c>
      <c r="Y46" s="3">
        <f>IFERROR(VLOOKUP($C46,学費計算!$C:$R,学費計算!E$1,0),0)</f>
        <v>0</v>
      </c>
      <c r="Z46" s="3">
        <f>IFERROR(VLOOKUP($C46,学費計算!$C:$R,学費計算!F$1,0),0)</f>
        <v>0</v>
      </c>
      <c r="AA46" s="3">
        <f>IFERROR(VLOOKUP($C46,学費計算!$C:$R,学費計算!G$1,0),0)</f>
        <v>0</v>
      </c>
      <c r="AB46" s="14"/>
      <c r="AC46" s="18">
        <f t="shared" si="12"/>
        <v>0</v>
      </c>
      <c r="AD46" s="24">
        <f t="shared" si="13"/>
        <v>0</v>
      </c>
      <c r="AE46" s="5">
        <f>IF(AND($C46&gt;=0,$C46&lt;=入力!$P$36),AE$1,0)</f>
        <v>0</v>
      </c>
      <c r="AF46" s="3"/>
      <c r="AG46" s="3"/>
      <c r="AH46" s="3"/>
      <c r="AI46" s="3"/>
      <c r="AJ46" s="14"/>
      <c r="AK46" s="18">
        <f t="shared" si="7"/>
        <v>0</v>
      </c>
      <c r="AL46" s="24">
        <f t="shared" si="5"/>
        <v>0</v>
      </c>
      <c r="AM46" s="24">
        <f t="shared" si="14"/>
        <v>-1333.1079</v>
      </c>
    </row>
    <row r="47" spans="2:39" x14ac:dyDescent="0.25">
      <c r="B47" s="5">
        <f t="shared" si="15"/>
        <v>60</v>
      </c>
      <c r="C47" s="3">
        <f t="shared" si="9"/>
        <v>37</v>
      </c>
      <c r="D47" s="34"/>
      <c r="E47" s="3">
        <f>IF(親1!D47&lt;=833.3+42*親1!AS47,IF(AND(C47&gt;=0,C47&lt;=3),1.5*12,IF(AND(C47&gt;3,C47&lt;=15),1*12,0)),IF(AND(C47&gt;=0,C47&lt;=15),0.5*12,0))</f>
        <v>0</v>
      </c>
      <c r="F47" s="3"/>
      <c r="G47" s="3"/>
      <c r="H47" s="3"/>
      <c r="I47" s="14"/>
      <c r="J47" s="24">
        <f t="shared" si="16"/>
        <v>0</v>
      </c>
      <c r="K47" s="5"/>
      <c r="L47" s="3"/>
      <c r="M47" s="3">
        <f>IF(AND($C47&gt;=0,$C47&lt;=入力!$P$38),M$1,0)</f>
        <v>0</v>
      </c>
      <c r="N47" s="3">
        <f>IF(AND($C47&gt;=0,$C47&lt;=入力!$P$38),N$1,0)</f>
        <v>0</v>
      </c>
      <c r="O47" s="3">
        <f>IF(AND($C47&gt;=0,$C47&lt;=入力!$P$38),O$1,0)</f>
        <v>0</v>
      </c>
      <c r="P47" s="3">
        <f>IF(AND($C47&gt;=0,$C47&lt;=入力!$P$38),P$1,0)</f>
        <v>0</v>
      </c>
      <c r="Q47" s="3">
        <f>IF(AND($C47&gt;=0,$C47&lt;=入力!$P$38),Q$1,0)</f>
        <v>0</v>
      </c>
      <c r="R47" s="3"/>
      <c r="S47" s="14"/>
      <c r="T47" s="18">
        <f t="shared" si="10"/>
        <v>0</v>
      </c>
      <c r="U47" s="24">
        <f t="shared" si="11"/>
        <v>0</v>
      </c>
      <c r="V47" s="5"/>
      <c r="W47" s="3">
        <f>IF(AND($C47&gt;=10,$C47&lt;=入力!$P$38),W$1,0)</f>
        <v>0</v>
      </c>
      <c r="X47" s="3">
        <f>IFERROR(VLOOKUP($C47,学費計算!$C:$R,学費計算!D$1,0),0)</f>
        <v>0</v>
      </c>
      <c r="Y47" s="3">
        <f>IFERROR(VLOOKUP($C47,学費計算!$C:$R,学費計算!E$1,0),0)</f>
        <v>0</v>
      </c>
      <c r="Z47" s="3">
        <f>IFERROR(VLOOKUP($C47,学費計算!$C:$R,学費計算!F$1,0),0)</f>
        <v>0</v>
      </c>
      <c r="AA47" s="3">
        <f>IFERROR(VLOOKUP($C47,学費計算!$C:$R,学費計算!G$1,0),0)</f>
        <v>0</v>
      </c>
      <c r="AB47" s="14"/>
      <c r="AC47" s="18">
        <f t="shared" si="12"/>
        <v>0</v>
      </c>
      <c r="AD47" s="24">
        <f t="shared" si="13"/>
        <v>0</v>
      </c>
      <c r="AE47" s="5">
        <f>IF(AND($C47&gt;=0,$C47&lt;=入力!$P$36),AE$1,0)</f>
        <v>0</v>
      </c>
      <c r="AF47" s="3"/>
      <c r="AG47" s="3"/>
      <c r="AH47" s="3"/>
      <c r="AI47" s="3"/>
      <c r="AJ47" s="14"/>
      <c r="AK47" s="18">
        <f t="shared" si="7"/>
        <v>0</v>
      </c>
      <c r="AL47" s="24">
        <f t="shared" si="5"/>
        <v>0</v>
      </c>
      <c r="AM47" s="24">
        <f t="shared" si="14"/>
        <v>-1333.1079</v>
      </c>
    </row>
    <row r="48" spans="2:39" x14ac:dyDescent="0.25">
      <c r="B48" s="5">
        <f t="shared" si="15"/>
        <v>61</v>
      </c>
      <c r="C48" s="3">
        <f t="shared" si="9"/>
        <v>38</v>
      </c>
      <c r="D48" s="34"/>
      <c r="E48" s="3">
        <f>IF(親1!D48&lt;=833.3+42*親1!AS48,IF(AND(C48&gt;=0,C48&lt;=3),1.5*12,IF(AND(C48&gt;3,C48&lt;=15),1*12,0)),IF(AND(C48&gt;=0,C48&lt;=15),0.5*12,0))</f>
        <v>0</v>
      </c>
      <c r="F48" s="3"/>
      <c r="G48" s="3"/>
      <c r="H48" s="3"/>
      <c r="I48" s="14"/>
      <c r="J48" s="24">
        <f t="shared" si="16"/>
        <v>0</v>
      </c>
      <c r="K48" s="5"/>
      <c r="L48" s="3"/>
      <c r="M48" s="3">
        <f>IF(AND($C48&gt;=0,$C48&lt;=入力!$P$38),M$1,0)</f>
        <v>0</v>
      </c>
      <c r="N48" s="3">
        <f>IF(AND($C48&gt;=0,$C48&lt;=入力!$P$38),N$1,0)</f>
        <v>0</v>
      </c>
      <c r="O48" s="3">
        <f>IF(AND($C48&gt;=0,$C48&lt;=入力!$P$38),O$1,0)</f>
        <v>0</v>
      </c>
      <c r="P48" s="3">
        <f>IF(AND($C48&gt;=0,$C48&lt;=入力!$P$38),P$1,0)</f>
        <v>0</v>
      </c>
      <c r="Q48" s="3">
        <f>IF(AND($C48&gt;=0,$C48&lt;=入力!$P$38),Q$1,0)</f>
        <v>0</v>
      </c>
      <c r="R48" s="3"/>
      <c r="S48" s="14"/>
      <c r="T48" s="18">
        <f t="shared" si="10"/>
        <v>0</v>
      </c>
      <c r="U48" s="24">
        <f t="shared" si="11"/>
        <v>0</v>
      </c>
      <c r="V48" s="5"/>
      <c r="W48" s="3">
        <f>IF(AND($C48&gt;=10,$C48&lt;=入力!$P$38),W$1,0)</f>
        <v>0</v>
      </c>
      <c r="X48" s="3">
        <f>IFERROR(VLOOKUP($C48,学費計算!$C:$R,学費計算!D$1,0),0)</f>
        <v>0</v>
      </c>
      <c r="Y48" s="3">
        <f>IFERROR(VLOOKUP($C48,学費計算!$C:$R,学費計算!E$1,0),0)</f>
        <v>0</v>
      </c>
      <c r="Z48" s="3">
        <f>IFERROR(VLOOKUP($C48,学費計算!$C:$R,学費計算!F$1,0),0)</f>
        <v>0</v>
      </c>
      <c r="AA48" s="3">
        <f>IFERROR(VLOOKUP($C48,学費計算!$C:$R,学費計算!G$1,0),0)</f>
        <v>0</v>
      </c>
      <c r="AB48" s="14"/>
      <c r="AC48" s="18">
        <f t="shared" si="12"/>
        <v>0</v>
      </c>
      <c r="AD48" s="24">
        <f t="shared" si="13"/>
        <v>0</v>
      </c>
      <c r="AE48" s="5">
        <f>IF(AND($C48&gt;=0,$C48&lt;=入力!$P$36),AE$1,0)</f>
        <v>0</v>
      </c>
      <c r="AF48" s="3"/>
      <c r="AG48" s="3"/>
      <c r="AH48" s="3"/>
      <c r="AI48" s="3"/>
      <c r="AJ48" s="14"/>
      <c r="AK48" s="18">
        <f t="shared" si="7"/>
        <v>0</v>
      </c>
      <c r="AL48" s="24">
        <f t="shared" si="5"/>
        <v>0</v>
      </c>
      <c r="AM48" s="24">
        <f t="shared" si="14"/>
        <v>-1333.1079</v>
      </c>
    </row>
    <row r="49" spans="2:39" x14ac:dyDescent="0.25">
      <c r="B49" s="5">
        <f t="shared" si="15"/>
        <v>62</v>
      </c>
      <c r="C49" s="3">
        <f t="shared" si="9"/>
        <v>39</v>
      </c>
      <c r="D49" s="34"/>
      <c r="E49" s="3">
        <f>IF(親1!D49&lt;=833.3+42*親1!AS49,IF(AND(C49&gt;=0,C49&lt;=3),1.5*12,IF(AND(C49&gt;3,C49&lt;=15),1*12,0)),IF(AND(C49&gt;=0,C49&lt;=15),0.5*12,0))</f>
        <v>0</v>
      </c>
      <c r="F49" s="3"/>
      <c r="G49" s="3"/>
      <c r="H49" s="3"/>
      <c r="I49" s="14"/>
      <c r="J49" s="24">
        <f t="shared" si="16"/>
        <v>0</v>
      </c>
      <c r="K49" s="5"/>
      <c r="L49" s="3"/>
      <c r="M49" s="3">
        <f>IF(AND($C49&gt;=0,$C49&lt;=入力!$P$38),M$1,0)</f>
        <v>0</v>
      </c>
      <c r="N49" s="3">
        <f>IF(AND($C49&gt;=0,$C49&lt;=入力!$P$38),N$1,0)</f>
        <v>0</v>
      </c>
      <c r="O49" s="3">
        <f>IF(AND($C49&gt;=0,$C49&lt;=入力!$P$38),O$1,0)</f>
        <v>0</v>
      </c>
      <c r="P49" s="3">
        <f>IF(AND($C49&gt;=0,$C49&lt;=入力!$P$38),P$1,0)</f>
        <v>0</v>
      </c>
      <c r="Q49" s="3">
        <f>IF(AND($C49&gt;=0,$C49&lt;=入力!$P$38),Q$1,0)</f>
        <v>0</v>
      </c>
      <c r="R49" s="3"/>
      <c r="S49" s="14"/>
      <c r="T49" s="18">
        <f t="shared" si="10"/>
        <v>0</v>
      </c>
      <c r="U49" s="24">
        <f t="shared" si="11"/>
        <v>0</v>
      </c>
      <c r="V49" s="5"/>
      <c r="W49" s="3">
        <f>IF(AND($C49&gt;=10,$C49&lt;=入力!$P$38),W$1,0)</f>
        <v>0</v>
      </c>
      <c r="X49" s="3">
        <f>IFERROR(VLOOKUP($C49,学費計算!$C:$R,学費計算!D$1,0),0)</f>
        <v>0</v>
      </c>
      <c r="Y49" s="3">
        <f>IFERROR(VLOOKUP($C49,学費計算!$C:$R,学費計算!E$1,0),0)</f>
        <v>0</v>
      </c>
      <c r="Z49" s="3">
        <f>IFERROR(VLOOKUP($C49,学費計算!$C:$R,学費計算!F$1,0),0)</f>
        <v>0</v>
      </c>
      <c r="AA49" s="3">
        <f>IFERROR(VLOOKUP($C49,学費計算!$C:$R,学費計算!G$1,0),0)</f>
        <v>0</v>
      </c>
      <c r="AB49" s="14"/>
      <c r="AC49" s="18">
        <f t="shared" si="12"/>
        <v>0</v>
      </c>
      <c r="AD49" s="24">
        <f t="shared" si="13"/>
        <v>0</v>
      </c>
      <c r="AE49" s="5">
        <f>IF(AND($C49&gt;=0,$C49&lt;=入力!$P$36),AE$1,0)</f>
        <v>0</v>
      </c>
      <c r="AF49" s="3"/>
      <c r="AG49" s="3"/>
      <c r="AH49" s="3"/>
      <c r="AI49" s="3"/>
      <c r="AJ49" s="14"/>
      <c r="AK49" s="18">
        <f t="shared" si="7"/>
        <v>0</v>
      </c>
      <c r="AL49" s="24">
        <f t="shared" si="5"/>
        <v>0</v>
      </c>
      <c r="AM49" s="24">
        <f t="shared" si="14"/>
        <v>-1333.1079</v>
      </c>
    </row>
    <row r="50" spans="2:39" x14ac:dyDescent="0.25">
      <c r="B50" s="5">
        <f t="shared" si="15"/>
        <v>63</v>
      </c>
      <c r="C50" s="3">
        <f t="shared" si="9"/>
        <v>40</v>
      </c>
      <c r="D50" s="34"/>
      <c r="E50" s="3">
        <f>IF(親1!D50&lt;=833.3+42*親1!AS50,IF(AND(C50&gt;=0,C50&lt;=3),1.5*12,IF(AND(C50&gt;3,C50&lt;=15),1*12,0)),IF(AND(C50&gt;=0,C50&lt;=15),0.5*12,0))</f>
        <v>0</v>
      </c>
      <c r="F50" s="3"/>
      <c r="G50" s="3"/>
      <c r="H50" s="3"/>
      <c r="I50" s="14"/>
      <c r="J50" s="24">
        <f t="shared" si="16"/>
        <v>0</v>
      </c>
      <c r="K50" s="5"/>
      <c r="L50" s="3"/>
      <c r="M50" s="3">
        <f>IF(AND($C50&gt;=0,$C50&lt;=入力!$P$38),M$1,0)</f>
        <v>0</v>
      </c>
      <c r="N50" s="3">
        <f>IF(AND($C50&gt;=0,$C50&lt;=入力!$P$38),N$1,0)</f>
        <v>0</v>
      </c>
      <c r="O50" s="3">
        <f>IF(AND($C50&gt;=0,$C50&lt;=入力!$P$38),O$1,0)</f>
        <v>0</v>
      </c>
      <c r="P50" s="3">
        <f>IF(AND($C50&gt;=0,$C50&lt;=入力!$P$38),P$1,0)</f>
        <v>0</v>
      </c>
      <c r="Q50" s="3">
        <f>IF(AND($C50&gt;=0,$C50&lt;=入力!$P$38),Q$1,0)</f>
        <v>0</v>
      </c>
      <c r="R50" s="3"/>
      <c r="S50" s="14"/>
      <c r="T50" s="18">
        <f t="shared" si="10"/>
        <v>0</v>
      </c>
      <c r="U50" s="24">
        <f t="shared" si="11"/>
        <v>0</v>
      </c>
      <c r="V50" s="5"/>
      <c r="W50" s="3">
        <f>IF(AND($C50&gt;=10,$C50&lt;=入力!$P$38),W$1,0)</f>
        <v>0</v>
      </c>
      <c r="X50" s="3">
        <f>IFERROR(VLOOKUP($C50,学費計算!$C:$R,学費計算!D$1,0),0)</f>
        <v>0</v>
      </c>
      <c r="Y50" s="3">
        <f>IFERROR(VLOOKUP($C50,学費計算!$C:$R,学費計算!E$1,0),0)</f>
        <v>0</v>
      </c>
      <c r="Z50" s="3">
        <f>IFERROR(VLOOKUP($C50,学費計算!$C:$R,学費計算!F$1,0),0)</f>
        <v>0</v>
      </c>
      <c r="AA50" s="3">
        <f>IFERROR(VLOOKUP($C50,学費計算!$C:$R,学費計算!G$1,0),0)</f>
        <v>0</v>
      </c>
      <c r="AB50" s="14"/>
      <c r="AC50" s="18">
        <f t="shared" si="12"/>
        <v>0</v>
      </c>
      <c r="AD50" s="24">
        <f t="shared" si="13"/>
        <v>0</v>
      </c>
      <c r="AE50" s="5">
        <f>IF(AND($C50&gt;=0,$C50&lt;=入力!$P$36),AE$1,0)</f>
        <v>0</v>
      </c>
      <c r="AF50" s="3"/>
      <c r="AG50" s="3"/>
      <c r="AH50" s="3"/>
      <c r="AI50" s="3"/>
      <c r="AJ50" s="14"/>
      <c r="AK50" s="18">
        <f t="shared" si="7"/>
        <v>0</v>
      </c>
      <c r="AL50" s="24">
        <f t="shared" si="5"/>
        <v>0</v>
      </c>
      <c r="AM50" s="24">
        <f t="shared" si="14"/>
        <v>-1333.1079</v>
      </c>
    </row>
    <row r="51" spans="2:39" x14ac:dyDescent="0.25">
      <c r="B51" s="5">
        <f t="shared" si="15"/>
        <v>64</v>
      </c>
      <c r="C51" s="3">
        <f t="shared" si="9"/>
        <v>41</v>
      </c>
      <c r="D51" s="34"/>
      <c r="E51" s="3">
        <f>IF(親1!D51&lt;=833.3+42*親1!AS51,IF(AND(C51&gt;=0,C51&lt;=3),1.5*12,IF(AND(C51&gt;3,C51&lt;=15),1*12,0)),IF(AND(C51&gt;=0,C51&lt;=15),0.5*12,0))</f>
        <v>0</v>
      </c>
      <c r="F51" s="3"/>
      <c r="G51" s="3"/>
      <c r="H51" s="3"/>
      <c r="I51" s="14"/>
      <c r="J51" s="24">
        <f t="shared" si="16"/>
        <v>0</v>
      </c>
      <c r="K51" s="5"/>
      <c r="L51" s="3"/>
      <c r="M51" s="3">
        <f>IF(AND($C51&gt;=0,$C51&lt;=入力!$P$38),M$1,0)</f>
        <v>0</v>
      </c>
      <c r="N51" s="3">
        <f>IF(AND($C51&gt;=0,$C51&lt;=入力!$P$38),N$1,0)</f>
        <v>0</v>
      </c>
      <c r="O51" s="3">
        <f>IF(AND($C51&gt;=0,$C51&lt;=入力!$P$38),O$1,0)</f>
        <v>0</v>
      </c>
      <c r="P51" s="3">
        <f>IF(AND($C51&gt;=0,$C51&lt;=入力!$P$38),P$1,0)</f>
        <v>0</v>
      </c>
      <c r="Q51" s="3">
        <f>IF(AND($C51&gt;=0,$C51&lt;=入力!$P$38),Q$1,0)</f>
        <v>0</v>
      </c>
      <c r="R51" s="3"/>
      <c r="S51" s="14"/>
      <c r="T51" s="18">
        <f t="shared" si="10"/>
        <v>0</v>
      </c>
      <c r="U51" s="24">
        <f t="shared" si="11"/>
        <v>0</v>
      </c>
      <c r="V51" s="5"/>
      <c r="W51" s="3">
        <f>IF(AND($C51&gt;=10,$C51&lt;=入力!$P$38),W$1,0)</f>
        <v>0</v>
      </c>
      <c r="X51" s="3">
        <f>IFERROR(VLOOKUP($C51,学費計算!$C:$R,学費計算!D$1,0),0)</f>
        <v>0</v>
      </c>
      <c r="Y51" s="3">
        <f>IFERROR(VLOOKUP($C51,学費計算!$C:$R,学費計算!E$1,0),0)</f>
        <v>0</v>
      </c>
      <c r="Z51" s="3">
        <f>IFERROR(VLOOKUP($C51,学費計算!$C:$R,学費計算!F$1,0),0)</f>
        <v>0</v>
      </c>
      <c r="AA51" s="3">
        <f>IFERROR(VLOOKUP($C51,学費計算!$C:$R,学費計算!G$1,0),0)</f>
        <v>0</v>
      </c>
      <c r="AB51" s="14"/>
      <c r="AC51" s="18">
        <f t="shared" si="12"/>
        <v>0</v>
      </c>
      <c r="AD51" s="24">
        <f t="shared" si="13"/>
        <v>0</v>
      </c>
      <c r="AE51" s="5">
        <f>IF(AND($C51&gt;=0,$C51&lt;=入力!$P$36),AE$1,0)</f>
        <v>0</v>
      </c>
      <c r="AF51" s="3"/>
      <c r="AG51" s="3"/>
      <c r="AH51" s="3"/>
      <c r="AI51" s="3"/>
      <c r="AJ51" s="14"/>
      <c r="AK51" s="18">
        <f t="shared" si="7"/>
        <v>0</v>
      </c>
      <c r="AL51" s="24">
        <f t="shared" si="5"/>
        <v>0</v>
      </c>
      <c r="AM51" s="24">
        <f t="shared" si="14"/>
        <v>-1333.1079</v>
      </c>
    </row>
    <row r="52" spans="2:39" x14ac:dyDescent="0.25">
      <c r="B52" s="5">
        <f t="shared" si="15"/>
        <v>65</v>
      </c>
      <c r="C52" s="3">
        <f t="shared" si="9"/>
        <v>42</v>
      </c>
      <c r="D52" s="34"/>
      <c r="E52" s="3">
        <f>IF(親1!D52&lt;=833.3+42*親1!AS52,IF(AND(C52&gt;=0,C52&lt;=3),1.5*12,IF(AND(C52&gt;3,C52&lt;=15),1*12,0)),IF(AND(C52&gt;=0,C52&lt;=15),0.5*12,0))</f>
        <v>0</v>
      </c>
      <c r="F52" s="3"/>
      <c r="G52" s="3"/>
      <c r="H52" s="3"/>
      <c r="I52" s="14"/>
      <c r="J52" s="24">
        <f t="shared" si="16"/>
        <v>0</v>
      </c>
      <c r="K52" s="5"/>
      <c r="L52" s="3"/>
      <c r="M52" s="3">
        <f>IF(AND($C52&gt;=0,$C52&lt;=入力!$P$38),M$1,0)</f>
        <v>0</v>
      </c>
      <c r="N52" s="3">
        <f>IF(AND($C52&gt;=0,$C52&lt;=入力!$P$38),N$1,0)</f>
        <v>0</v>
      </c>
      <c r="O52" s="3">
        <f>IF(AND($C52&gt;=0,$C52&lt;=入力!$P$38),O$1,0)</f>
        <v>0</v>
      </c>
      <c r="P52" s="3">
        <f>IF(AND($C52&gt;=0,$C52&lt;=入力!$P$38),P$1,0)</f>
        <v>0</v>
      </c>
      <c r="Q52" s="3">
        <f>IF(AND($C52&gt;=0,$C52&lt;=入力!$P$38),Q$1,0)</f>
        <v>0</v>
      </c>
      <c r="R52" s="3"/>
      <c r="S52" s="14"/>
      <c r="T52" s="18">
        <f t="shared" si="10"/>
        <v>0</v>
      </c>
      <c r="U52" s="24">
        <f t="shared" si="11"/>
        <v>0</v>
      </c>
      <c r="V52" s="5"/>
      <c r="W52" s="3">
        <f>IF(AND($C52&gt;=10,$C52&lt;=入力!$P$38),W$1,0)</f>
        <v>0</v>
      </c>
      <c r="X52" s="3">
        <f>IFERROR(VLOOKUP($C52,学費計算!$C:$R,学費計算!D$1,0),0)</f>
        <v>0</v>
      </c>
      <c r="Y52" s="3">
        <f>IFERROR(VLOOKUP($C52,学費計算!$C:$R,学費計算!E$1,0),0)</f>
        <v>0</v>
      </c>
      <c r="Z52" s="3">
        <f>IFERROR(VLOOKUP($C52,学費計算!$C:$R,学費計算!F$1,0),0)</f>
        <v>0</v>
      </c>
      <c r="AA52" s="3">
        <f>IFERROR(VLOOKUP($C52,学費計算!$C:$R,学費計算!G$1,0),0)</f>
        <v>0</v>
      </c>
      <c r="AB52" s="14"/>
      <c r="AC52" s="18">
        <f t="shared" si="12"/>
        <v>0</v>
      </c>
      <c r="AD52" s="24">
        <f t="shared" si="13"/>
        <v>0</v>
      </c>
      <c r="AE52" s="5">
        <f>IF(AND($C52&gt;=0,$C52&lt;=入力!$P$36),AE$1,0)</f>
        <v>0</v>
      </c>
      <c r="AF52" s="3"/>
      <c r="AG52" s="3"/>
      <c r="AH52" s="3"/>
      <c r="AI52" s="3"/>
      <c r="AJ52" s="14"/>
      <c r="AK52" s="18">
        <f t="shared" si="7"/>
        <v>0</v>
      </c>
      <c r="AL52" s="24">
        <f t="shared" si="5"/>
        <v>0</v>
      </c>
      <c r="AM52" s="24">
        <f t="shared" si="14"/>
        <v>-1333.1079</v>
      </c>
    </row>
    <row r="53" spans="2:39" x14ac:dyDescent="0.25">
      <c r="B53" s="5">
        <f t="shared" si="15"/>
        <v>66</v>
      </c>
      <c r="C53" s="3">
        <f t="shared" si="9"/>
        <v>43</v>
      </c>
      <c r="D53" s="34"/>
      <c r="E53" s="3">
        <f>IF(親1!D53&lt;=833.3+42*親1!AS53,IF(AND(C53&gt;=0,C53&lt;=3),1.5*12,IF(AND(C53&gt;3,C53&lt;=15),1*12,0)),IF(AND(C53&gt;=0,C53&lt;=15),0.5*12,0))</f>
        <v>0</v>
      </c>
      <c r="F53" s="3"/>
      <c r="G53" s="3"/>
      <c r="H53" s="3"/>
      <c r="I53" s="14"/>
      <c r="J53" s="24">
        <f t="shared" si="16"/>
        <v>0</v>
      </c>
      <c r="K53" s="5"/>
      <c r="L53" s="3"/>
      <c r="M53" s="3">
        <f>IF(AND($C53&gt;=0,$C53&lt;=入力!$P$38),M$1,0)</f>
        <v>0</v>
      </c>
      <c r="N53" s="3">
        <f>IF(AND($C53&gt;=0,$C53&lt;=入力!$P$38),N$1,0)</f>
        <v>0</v>
      </c>
      <c r="O53" s="3">
        <f>IF(AND($C53&gt;=0,$C53&lt;=入力!$P$38),O$1,0)</f>
        <v>0</v>
      </c>
      <c r="P53" s="3">
        <f>IF(AND($C53&gt;=0,$C53&lt;=入力!$P$38),P$1,0)</f>
        <v>0</v>
      </c>
      <c r="Q53" s="3">
        <f>IF(AND($C53&gt;=0,$C53&lt;=入力!$P$38),Q$1,0)</f>
        <v>0</v>
      </c>
      <c r="R53" s="3"/>
      <c r="S53" s="14"/>
      <c r="T53" s="18">
        <f t="shared" si="10"/>
        <v>0</v>
      </c>
      <c r="U53" s="24">
        <f t="shared" si="11"/>
        <v>0</v>
      </c>
      <c r="V53" s="5"/>
      <c r="W53" s="3">
        <f>IF(AND($C53&gt;=10,$C53&lt;=入力!$P$38),W$1,0)</f>
        <v>0</v>
      </c>
      <c r="X53" s="3">
        <f>IFERROR(VLOOKUP($C53,学費計算!$C:$R,学費計算!D$1,0),0)</f>
        <v>0</v>
      </c>
      <c r="Y53" s="3">
        <f>IFERROR(VLOOKUP($C53,学費計算!$C:$R,学費計算!E$1,0),0)</f>
        <v>0</v>
      </c>
      <c r="Z53" s="3">
        <f>IFERROR(VLOOKUP($C53,学費計算!$C:$R,学費計算!F$1,0),0)</f>
        <v>0</v>
      </c>
      <c r="AA53" s="3">
        <f>IFERROR(VLOOKUP($C53,学費計算!$C:$R,学費計算!G$1,0),0)</f>
        <v>0</v>
      </c>
      <c r="AB53" s="14"/>
      <c r="AC53" s="18">
        <f t="shared" si="12"/>
        <v>0</v>
      </c>
      <c r="AD53" s="24">
        <f t="shared" si="13"/>
        <v>0</v>
      </c>
      <c r="AE53" s="5">
        <f>IF(AND($C53&gt;=0,$C53&lt;=入力!$P$36),AE$1,0)</f>
        <v>0</v>
      </c>
      <c r="AF53" s="3"/>
      <c r="AG53" s="3"/>
      <c r="AH53" s="3"/>
      <c r="AI53" s="3"/>
      <c r="AJ53" s="14"/>
      <c r="AK53" s="18">
        <f t="shared" si="7"/>
        <v>0</v>
      </c>
      <c r="AL53" s="24">
        <f t="shared" si="5"/>
        <v>0</v>
      </c>
      <c r="AM53" s="24">
        <f t="shared" si="14"/>
        <v>-1333.1079</v>
      </c>
    </row>
    <row r="54" spans="2:39" x14ac:dyDescent="0.25">
      <c r="B54" s="5">
        <f t="shared" si="15"/>
        <v>67</v>
      </c>
      <c r="C54" s="3">
        <f t="shared" si="9"/>
        <v>44</v>
      </c>
      <c r="D54" s="34"/>
      <c r="E54" s="3">
        <f>IF(親1!D54&lt;=833.3+42*親1!AS54,IF(AND(C54&gt;=0,C54&lt;=3),1.5*12,IF(AND(C54&gt;3,C54&lt;=15),1*12,0)),IF(AND(C54&gt;=0,C54&lt;=15),0.5*12,0))</f>
        <v>0</v>
      </c>
      <c r="F54" s="3"/>
      <c r="G54" s="3"/>
      <c r="H54" s="3"/>
      <c r="I54" s="14"/>
      <c r="J54" s="24">
        <f t="shared" si="16"/>
        <v>0</v>
      </c>
      <c r="K54" s="5"/>
      <c r="L54" s="3"/>
      <c r="M54" s="3">
        <f>IF(AND($C54&gt;=0,$C54&lt;=入力!$P$38),M$1,0)</f>
        <v>0</v>
      </c>
      <c r="N54" s="3">
        <f>IF(AND($C54&gt;=0,$C54&lt;=入力!$P$38),N$1,0)</f>
        <v>0</v>
      </c>
      <c r="O54" s="3">
        <f>IF(AND($C54&gt;=0,$C54&lt;=入力!$P$38),O$1,0)</f>
        <v>0</v>
      </c>
      <c r="P54" s="3">
        <f>IF(AND($C54&gt;=0,$C54&lt;=入力!$P$38),P$1,0)</f>
        <v>0</v>
      </c>
      <c r="Q54" s="3">
        <f>IF(AND($C54&gt;=0,$C54&lt;=入力!$P$38),Q$1,0)</f>
        <v>0</v>
      </c>
      <c r="R54" s="3"/>
      <c r="S54" s="14"/>
      <c r="T54" s="18">
        <f t="shared" si="10"/>
        <v>0</v>
      </c>
      <c r="U54" s="24">
        <f t="shared" si="11"/>
        <v>0</v>
      </c>
      <c r="V54" s="5"/>
      <c r="W54" s="3">
        <f>IF(AND($C54&gt;=10,$C54&lt;=入力!$P$38),W$1,0)</f>
        <v>0</v>
      </c>
      <c r="X54" s="3">
        <f>IFERROR(VLOOKUP($C54,学費計算!$C:$R,学費計算!D$1,0),0)</f>
        <v>0</v>
      </c>
      <c r="Y54" s="3">
        <f>IFERROR(VLOOKUP($C54,学費計算!$C:$R,学費計算!E$1,0),0)</f>
        <v>0</v>
      </c>
      <c r="Z54" s="3">
        <f>IFERROR(VLOOKUP($C54,学費計算!$C:$R,学費計算!F$1,0),0)</f>
        <v>0</v>
      </c>
      <c r="AA54" s="3">
        <f>IFERROR(VLOOKUP($C54,学費計算!$C:$R,学費計算!G$1,0),0)</f>
        <v>0</v>
      </c>
      <c r="AB54" s="14"/>
      <c r="AC54" s="18">
        <f t="shared" si="12"/>
        <v>0</v>
      </c>
      <c r="AD54" s="24">
        <f t="shared" si="13"/>
        <v>0</v>
      </c>
      <c r="AE54" s="5">
        <f>IF(AND($C54&gt;=0,$C54&lt;=入力!$P$36),AE$1,0)</f>
        <v>0</v>
      </c>
      <c r="AF54" s="3"/>
      <c r="AG54" s="3"/>
      <c r="AH54" s="3"/>
      <c r="AI54" s="3"/>
      <c r="AJ54" s="14"/>
      <c r="AK54" s="18">
        <f t="shared" si="7"/>
        <v>0</v>
      </c>
      <c r="AL54" s="24">
        <f t="shared" si="5"/>
        <v>0</v>
      </c>
      <c r="AM54" s="24">
        <f t="shared" si="14"/>
        <v>-1333.1079</v>
      </c>
    </row>
    <row r="55" spans="2:39" x14ac:dyDescent="0.25">
      <c r="B55" s="5">
        <f t="shared" si="15"/>
        <v>68</v>
      </c>
      <c r="C55" s="3">
        <f t="shared" si="9"/>
        <v>45</v>
      </c>
      <c r="D55" s="34"/>
      <c r="E55" s="3">
        <f>IF(親1!D55&lt;=833.3+42*親1!AS55,IF(AND(C55&gt;=0,C55&lt;=3),1.5*12,IF(AND(C55&gt;3,C55&lt;=15),1*12,0)),IF(AND(C55&gt;=0,C55&lt;=15),0.5*12,0))</f>
        <v>0</v>
      </c>
      <c r="F55" s="3"/>
      <c r="G55" s="3"/>
      <c r="H55" s="3"/>
      <c r="I55" s="14"/>
      <c r="J55" s="24">
        <f t="shared" si="16"/>
        <v>0</v>
      </c>
      <c r="K55" s="5"/>
      <c r="L55" s="3"/>
      <c r="M55" s="3">
        <f>IF(AND($C55&gt;=0,$C55&lt;=入力!$P$38),M$1,0)</f>
        <v>0</v>
      </c>
      <c r="N55" s="3">
        <f>IF(AND($C55&gt;=0,$C55&lt;=入力!$P$38),N$1,0)</f>
        <v>0</v>
      </c>
      <c r="O55" s="3">
        <f>IF(AND($C55&gt;=0,$C55&lt;=入力!$P$38),O$1,0)</f>
        <v>0</v>
      </c>
      <c r="P55" s="3">
        <f>IF(AND($C55&gt;=0,$C55&lt;=入力!$P$38),P$1,0)</f>
        <v>0</v>
      </c>
      <c r="Q55" s="3">
        <f>IF(AND($C55&gt;=0,$C55&lt;=入力!$P$38),Q$1,0)</f>
        <v>0</v>
      </c>
      <c r="R55" s="3"/>
      <c r="S55" s="14"/>
      <c r="T55" s="18">
        <f t="shared" si="10"/>
        <v>0</v>
      </c>
      <c r="U55" s="24">
        <f t="shared" si="11"/>
        <v>0</v>
      </c>
      <c r="V55" s="5"/>
      <c r="W55" s="3">
        <f>IF(AND($C55&gt;=10,$C55&lt;=入力!$P$38),W$1,0)</f>
        <v>0</v>
      </c>
      <c r="X55" s="3">
        <f>IFERROR(VLOOKUP($C55,学費計算!$C:$R,学費計算!D$1,0),0)</f>
        <v>0</v>
      </c>
      <c r="Y55" s="3">
        <f>IFERROR(VLOOKUP($C55,学費計算!$C:$R,学費計算!E$1,0),0)</f>
        <v>0</v>
      </c>
      <c r="Z55" s="3">
        <f>IFERROR(VLOOKUP($C55,学費計算!$C:$R,学費計算!F$1,0),0)</f>
        <v>0</v>
      </c>
      <c r="AA55" s="3">
        <f>IFERROR(VLOOKUP($C55,学費計算!$C:$R,学費計算!G$1,0),0)</f>
        <v>0</v>
      </c>
      <c r="AB55" s="14"/>
      <c r="AC55" s="18">
        <f t="shared" si="12"/>
        <v>0</v>
      </c>
      <c r="AD55" s="24">
        <f t="shared" si="13"/>
        <v>0</v>
      </c>
      <c r="AE55" s="5">
        <f>IF(AND($C55&gt;=0,$C55&lt;=入力!$P$36),AE$1,0)</f>
        <v>0</v>
      </c>
      <c r="AF55" s="3"/>
      <c r="AG55" s="3"/>
      <c r="AH55" s="3"/>
      <c r="AI55" s="3"/>
      <c r="AJ55" s="14"/>
      <c r="AK55" s="18">
        <f t="shared" si="7"/>
        <v>0</v>
      </c>
      <c r="AL55" s="24">
        <f t="shared" si="5"/>
        <v>0</v>
      </c>
      <c r="AM55" s="24">
        <f t="shared" si="14"/>
        <v>-1333.1079</v>
      </c>
    </row>
    <row r="56" spans="2:39" x14ac:dyDescent="0.25">
      <c r="B56" s="5">
        <f t="shared" si="15"/>
        <v>69</v>
      </c>
      <c r="C56" s="3">
        <f t="shared" si="9"/>
        <v>46</v>
      </c>
      <c r="D56" s="34"/>
      <c r="E56" s="3">
        <f>IF(親1!D56&lt;=833.3+42*親1!AS56,IF(AND(C56&gt;=0,C56&lt;=3),1.5*12,IF(AND(C56&gt;3,C56&lt;=15),1*12,0)),IF(AND(C56&gt;=0,C56&lt;=15),0.5*12,0))</f>
        <v>0</v>
      </c>
      <c r="F56" s="3"/>
      <c r="G56" s="3"/>
      <c r="H56" s="3"/>
      <c r="I56" s="14"/>
      <c r="J56" s="24">
        <f t="shared" si="16"/>
        <v>0</v>
      </c>
      <c r="K56" s="5"/>
      <c r="L56" s="3"/>
      <c r="M56" s="3">
        <f>IF(AND($C56&gt;=0,$C56&lt;=入力!$P$38),M$1,0)</f>
        <v>0</v>
      </c>
      <c r="N56" s="3">
        <f>IF(AND($C56&gt;=0,$C56&lt;=入力!$P$38),N$1,0)</f>
        <v>0</v>
      </c>
      <c r="O56" s="3">
        <f>IF(AND($C56&gt;=0,$C56&lt;=入力!$P$38),O$1,0)</f>
        <v>0</v>
      </c>
      <c r="P56" s="3">
        <f>IF(AND($C56&gt;=0,$C56&lt;=入力!$P$38),P$1,0)</f>
        <v>0</v>
      </c>
      <c r="Q56" s="3">
        <f>IF(AND($C56&gt;=0,$C56&lt;=入力!$P$38),Q$1,0)</f>
        <v>0</v>
      </c>
      <c r="R56" s="3"/>
      <c r="S56" s="14"/>
      <c r="T56" s="18">
        <f t="shared" si="10"/>
        <v>0</v>
      </c>
      <c r="U56" s="24">
        <f t="shared" si="11"/>
        <v>0</v>
      </c>
      <c r="V56" s="5"/>
      <c r="W56" s="3">
        <f>IF(AND($C56&gt;=10,$C56&lt;=入力!$P$38),W$1,0)</f>
        <v>0</v>
      </c>
      <c r="X56" s="3">
        <f>IFERROR(VLOOKUP($C56,学費計算!$C:$R,学費計算!D$1,0),0)</f>
        <v>0</v>
      </c>
      <c r="Y56" s="3">
        <f>IFERROR(VLOOKUP($C56,学費計算!$C:$R,学費計算!E$1,0),0)</f>
        <v>0</v>
      </c>
      <c r="Z56" s="3">
        <f>IFERROR(VLOOKUP($C56,学費計算!$C:$R,学費計算!F$1,0),0)</f>
        <v>0</v>
      </c>
      <c r="AA56" s="3">
        <f>IFERROR(VLOOKUP($C56,学費計算!$C:$R,学費計算!G$1,0),0)</f>
        <v>0</v>
      </c>
      <c r="AB56" s="14"/>
      <c r="AC56" s="18">
        <f t="shared" si="12"/>
        <v>0</v>
      </c>
      <c r="AD56" s="24">
        <f t="shared" si="13"/>
        <v>0</v>
      </c>
      <c r="AE56" s="5">
        <f>IF(AND($C56&gt;=0,$C56&lt;=入力!$P$36),AE$1,0)</f>
        <v>0</v>
      </c>
      <c r="AF56" s="3"/>
      <c r="AG56" s="3"/>
      <c r="AH56" s="3"/>
      <c r="AI56" s="3"/>
      <c r="AJ56" s="14"/>
      <c r="AK56" s="18">
        <f t="shared" si="7"/>
        <v>0</v>
      </c>
      <c r="AL56" s="24">
        <f t="shared" si="5"/>
        <v>0</v>
      </c>
      <c r="AM56" s="24">
        <f t="shared" si="14"/>
        <v>-1333.1079</v>
      </c>
    </row>
    <row r="57" spans="2:39" x14ac:dyDescent="0.25">
      <c r="B57" s="5">
        <f t="shared" si="15"/>
        <v>70</v>
      </c>
      <c r="C57" s="3">
        <f t="shared" si="9"/>
        <v>47</v>
      </c>
      <c r="D57" s="34"/>
      <c r="E57" s="3">
        <f>IF(親1!D57&lt;=833.3+42*親1!AS57,IF(AND(C57&gt;=0,C57&lt;=3),1.5*12,IF(AND(C57&gt;3,C57&lt;=15),1*12,0)),IF(AND(C57&gt;=0,C57&lt;=15),0.5*12,0))</f>
        <v>0</v>
      </c>
      <c r="F57" s="3"/>
      <c r="G57" s="3"/>
      <c r="H57" s="3"/>
      <c r="I57" s="14"/>
      <c r="J57" s="24">
        <f t="shared" si="16"/>
        <v>0</v>
      </c>
      <c r="K57" s="5"/>
      <c r="L57" s="3"/>
      <c r="M57" s="3">
        <f>IF(AND($C57&gt;=0,$C57&lt;=入力!$P$38),M$1,0)</f>
        <v>0</v>
      </c>
      <c r="N57" s="3">
        <f>IF(AND($C57&gt;=0,$C57&lt;=入力!$P$38),N$1,0)</f>
        <v>0</v>
      </c>
      <c r="O57" s="3">
        <f>IF(AND($C57&gt;=0,$C57&lt;=入力!$P$38),O$1,0)</f>
        <v>0</v>
      </c>
      <c r="P57" s="3">
        <f>IF(AND($C57&gt;=0,$C57&lt;=入力!$P$38),P$1,0)</f>
        <v>0</v>
      </c>
      <c r="Q57" s="3">
        <f>IF(AND($C57&gt;=0,$C57&lt;=入力!$P$38),Q$1,0)</f>
        <v>0</v>
      </c>
      <c r="R57" s="3"/>
      <c r="S57" s="14"/>
      <c r="T57" s="18">
        <f t="shared" si="10"/>
        <v>0</v>
      </c>
      <c r="U57" s="24">
        <f t="shared" si="11"/>
        <v>0</v>
      </c>
      <c r="V57" s="5"/>
      <c r="W57" s="3">
        <f>IF(AND($C57&gt;=10,$C57&lt;=入力!$P$38),W$1,0)</f>
        <v>0</v>
      </c>
      <c r="X57" s="3">
        <f>IFERROR(VLOOKUP($C57,学費計算!$C:$R,学費計算!D$1,0),0)</f>
        <v>0</v>
      </c>
      <c r="Y57" s="3">
        <f>IFERROR(VLOOKUP($C57,学費計算!$C:$R,学費計算!E$1,0),0)</f>
        <v>0</v>
      </c>
      <c r="Z57" s="3">
        <f>IFERROR(VLOOKUP($C57,学費計算!$C:$R,学費計算!F$1,0),0)</f>
        <v>0</v>
      </c>
      <c r="AA57" s="3">
        <f>IFERROR(VLOOKUP($C57,学費計算!$C:$R,学費計算!G$1,0),0)</f>
        <v>0</v>
      </c>
      <c r="AB57" s="14"/>
      <c r="AC57" s="18">
        <f t="shared" si="12"/>
        <v>0</v>
      </c>
      <c r="AD57" s="24">
        <f t="shared" si="13"/>
        <v>0</v>
      </c>
      <c r="AE57" s="5">
        <f>IF(AND($C57&gt;=0,$C57&lt;=入力!$P$36),AE$1,0)</f>
        <v>0</v>
      </c>
      <c r="AF57" s="3"/>
      <c r="AG57" s="3"/>
      <c r="AH57" s="3"/>
      <c r="AI57" s="3"/>
      <c r="AJ57" s="14"/>
      <c r="AK57" s="18">
        <f t="shared" si="7"/>
        <v>0</v>
      </c>
      <c r="AL57" s="24">
        <f t="shared" si="5"/>
        <v>0</v>
      </c>
      <c r="AM57" s="24">
        <f t="shared" si="14"/>
        <v>-1333.1079</v>
      </c>
    </row>
    <row r="58" spans="2:39" x14ac:dyDescent="0.25">
      <c r="B58" s="5">
        <f t="shared" si="15"/>
        <v>71</v>
      </c>
      <c r="C58" s="3">
        <f t="shared" si="9"/>
        <v>48</v>
      </c>
      <c r="D58" s="34"/>
      <c r="E58" s="3">
        <f>IF(親1!D58&lt;=833.3+42*親1!AS58,IF(AND(C58&gt;=0,C58&lt;=3),1.5*12,IF(AND(C58&gt;3,C58&lt;=15),1*12,0)),IF(AND(C58&gt;=0,C58&lt;=15),0.5*12,0))</f>
        <v>0</v>
      </c>
      <c r="F58" s="3"/>
      <c r="G58" s="3"/>
      <c r="H58" s="3"/>
      <c r="I58" s="14"/>
      <c r="J58" s="24">
        <f t="shared" si="16"/>
        <v>0</v>
      </c>
      <c r="K58" s="5"/>
      <c r="L58" s="3"/>
      <c r="M58" s="3">
        <f>IF(AND($C58&gt;=0,$C58&lt;=入力!$P$38),M$1,0)</f>
        <v>0</v>
      </c>
      <c r="N58" s="3">
        <f>IF(AND($C58&gt;=0,$C58&lt;=入力!$P$38),N$1,0)</f>
        <v>0</v>
      </c>
      <c r="O58" s="3">
        <f>IF(AND($C58&gt;=0,$C58&lt;=入力!$P$38),O$1,0)</f>
        <v>0</v>
      </c>
      <c r="P58" s="3">
        <f>IF(AND($C58&gt;=0,$C58&lt;=入力!$P$38),P$1,0)</f>
        <v>0</v>
      </c>
      <c r="Q58" s="3">
        <f>IF(AND($C58&gt;=0,$C58&lt;=入力!$P$38),Q$1,0)</f>
        <v>0</v>
      </c>
      <c r="R58" s="3"/>
      <c r="S58" s="14"/>
      <c r="T58" s="18">
        <f t="shared" si="10"/>
        <v>0</v>
      </c>
      <c r="U58" s="24">
        <f t="shared" si="11"/>
        <v>0</v>
      </c>
      <c r="V58" s="5"/>
      <c r="W58" s="3">
        <f>IF(AND($C58&gt;=10,$C58&lt;=入力!$P$38),W$1,0)</f>
        <v>0</v>
      </c>
      <c r="X58" s="3">
        <f>IFERROR(VLOOKUP($C58,学費計算!$C:$R,学費計算!D$1,0),0)</f>
        <v>0</v>
      </c>
      <c r="Y58" s="3">
        <f>IFERROR(VLOOKUP($C58,学費計算!$C:$R,学費計算!E$1,0),0)</f>
        <v>0</v>
      </c>
      <c r="Z58" s="3">
        <f>IFERROR(VLOOKUP($C58,学費計算!$C:$R,学費計算!F$1,0),0)</f>
        <v>0</v>
      </c>
      <c r="AA58" s="3">
        <f>IFERROR(VLOOKUP($C58,学費計算!$C:$R,学費計算!G$1,0),0)</f>
        <v>0</v>
      </c>
      <c r="AB58" s="14"/>
      <c r="AC58" s="18">
        <f t="shared" si="12"/>
        <v>0</v>
      </c>
      <c r="AD58" s="24">
        <f t="shared" si="13"/>
        <v>0</v>
      </c>
      <c r="AE58" s="5">
        <f>IF(AND($C58&gt;=0,$C58&lt;=入力!$P$36),AE$1,0)</f>
        <v>0</v>
      </c>
      <c r="AF58" s="3"/>
      <c r="AG58" s="3"/>
      <c r="AH58" s="3"/>
      <c r="AI58" s="3"/>
      <c r="AJ58" s="14"/>
      <c r="AK58" s="18">
        <f t="shared" si="7"/>
        <v>0</v>
      </c>
      <c r="AL58" s="24">
        <f t="shared" si="5"/>
        <v>0</v>
      </c>
      <c r="AM58" s="24">
        <f t="shared" si="14"/>
        <v>-1333.1079</v>
      </c>
    </row>
    <row r="59" spans="2:39" x14ac:dyDescent="0.25">
      <c r="B59" s="5">
        <f t="shared" si="15"/>
        <v>72</v>
      </c>
      <c r="C59" s="3">
        <f t="shared" si="9"/>
        <v>49</v>
      </c>
      <c r="D59" s="34"/>
      <c r="E59" s="3">
        <f>IF(親1!D59&lt;=833.3+42*親1!AS59,IF(AND(C59&gt;=0,C59&lt;=3),1.5*12,IF(AND(C59&gt;3,C59&lt;=15),1*12,0)),IF(AND(C59&gt;=0,C59&lt;=15),0.5*12,0))</f>
        <v>0</v>
      </c>
      <c r="F59" s="3"/>
      <c r="G59" s="3"/>
      <c r="H59" s="3"/>
      <c r="I59" s="14"/>
      <c r="J59" s="24">
        <f t="shared" si="16"/>
        <v>0</v>
      </c>
      <c r="K59" s="5"/>
      <c r="L59" s="3"/>
      <c r="M59" s="3">
        <f>IF(AND($C59&gt;=0,$C59&lt;=入力!$P$38),M$1,0)</f>
        <v>0</v>
      </c>
      <c r="N59" s="3">
        <f>IF(AND($C59&gt;=0,$C59&lt;=入力!$P$38),N$1,0)</f>
        <v>0</v>
      </c>
      <c r="O59" s="3">
        <f>IF(AND($C59&gt;=0,$C59&lt;=入力!$P$38),O$1,0)</f>
        <v>0</v>
      </c>
      <c r="P59" s="3">
        <f>IF(AND($C59&gt;=0,$C59&lt;=入力!$P$38),P$1,0)</f>
        <v>0</v>
      </c>
      <c r="Q59" s="3">
        <f>IF(AND($C59&gt;=0,$C59&lt;=入力!$P$38),Q$1,0)</f>
        <v>0</v>
      </c>
      <c r="R59" s="3"/>
      <c r="S59" s="14"/>
      <c r="T59" s="18">
        <f t="shared" si="10"/>
        <v>0</v>
      </c>
      <c r="U59" s="24">
        <f t="shared" si="11"/>
        <v>0</v>
      </c>
      <c r="V59" s="5"/>
      <c r="W59" s="3">
        <f>IF(AND($C59&gt;=10,$C59&lt;=入力!$P$38),W$1,0)</f>
        <v>0</v>
      </c>
      <c r="X59" s="3">
        <f>IFERROR(VLOOKUP($C59,学費計算!$C:$R,学費計算!D$1,0),0)</f>
        <v>0</v>
      </c>
      <c r="Y59" s="3">
        <f>IFERROR(VLOOKUP($C59,学費計算!$C:$R,学費計算!E$1,0),0)</f>
        <v>0</v>
      </c>
      <c r="Z59" s="3">
        <f>IFERROR(VLOOKUP($C59,学費計算!$C:$R,学費計算!F$1,0),0)</f>
        <v>0</v>
      </c>
      <c r="AA59" s="3">
        <f>IFERROR(VLOOKUP($C59,学費計算!$C:$R,学費計算!G$1,0),0)</f>
        <v>0</v>
      </c>
      <c r="AB59" s="14"/>
      <c r="AC59" s="18">
        <f t="shared" si="12"/>
        <v>0</v>
      </c>
      <c r="AD59" s="24">
        <f t="shared" si="13"/>
        <v>0</v>
      </c>
      <c r="AE59" s="5">
        <f>IF(AND($C59&gt;=0,$C59&lt;=入力!$P$36),AE$1,0)</f>
        <v>0</v>
      </c>
      <c r="AF59" s="3"/>
      <c r="AG59" s="3"/>
      <c r="AH59" s="3"/>
      <c r="AI59" s="3"/>
      <c r="AJ59" s="14"/>
      <c r="AK59" s="18">
        <f t="shared" si="7"/>
        <v>0</v>
      </c>
      <c r="AL59" s="24">
        <f t="shared" si="5"/>
        <v>0</v>
      </c>
      <c r="AM59" s="24">
        <f t="shared" si="14"/>
        <v>-1333.1079</v>
      </c>
    </row>
    <row r="60" spans="2:39" x14ac:dyDescent="0.25">
      <c r="B60" s="5">
        <f t="shared" si="15"/>
        <v>73</v>
      </c>
      <c r="C60" s="3">
        <f t="shared" si="9"/>
        <v>50</v>
      </c>
      <c r="D60" s="34"/>
      <c r="E60" s="3">
        <f>IF(親1!D60&lt;=833.3+42*親1!AS60,IF(AND(C60&gt;=0,C60&lt;=3),1.5*12,IF(AND(C60&gt;3,C60&lt;=15),1*12,0)),IF(AND(C60&gt;=0,C60&lt;=15),0.5*12,0))</f>
        <v>0</v>
      </c>
      <c r="F60" s="3"/>
      <c r="G60" s="3"/>
      <c r="H60" s="3"/>
      <c r="I60" s="14"/>
      <c r="J60" s="24">
        <f t="shared" si="16"/>
        <v>0</v>
      </c>
      <c r="K60" s="5"/>
      <c r="L60" s="3"/>
      <c r="M60" s="3">
        <f>IF(AND($C60&gt;=0,$C60&lt;=入力!$P$38),M$1,0)</f>
        <v>0</v>
      </c>
      <c r="N60" s="3">
        <f>IF(AND($C60&gt;=0,$C60&lt;=入力!$P$38),N$1,0)</f>
        <v>0</v>
      </c>
      <c r="O60" s="3">
        <f>IF(AND($C60&gt;=0,$C60&lt;=入力!$P$38),O$1,0)</f>
        <v>0</v>
      </c>
      <c r="P60" s="3">
        <f>IF(AND($C60&gt;=0,$C60&lt;=入力!$P$38),P$1,0)</f>
        <v>0</v>
      </c>
      <c r="Q60" s="3">
        <f>IF(AND($C60&gt;=0,$C60&lt;=入力!$P$38),Q$1,0)</f>
        <v>0</v>
      </c>
      <c r="R60" s="3"/>
      <c r="S60" s="14"/>
      <c r="T60" s="18">
        <f t="shared" si="10"/>
        <v>0</v>
      </c>
      <c r="U60" s="24">
        <f t="shared" si="11"/>
        <v>0</v>
      </c>
      <c r="V60" s="5"/>
      <c r="W60" s="3">
        <f>IF(AND($C60&gt;=10,$C60&lt;=入力!$P$38),W$1,0)</f>
        <v>0</v>
      </c>
      <c r="X60" s="3">
        <f>IFERROR(VLOOKUP($C60,学費計算!$C:$R,学費計算!D$1,0),0)</f>
        <v>0</v>
      </c>
      <c r="Y60" s="3">
        <f>IFERROR(VLOOKUP($C60,学費計算!$C:$R,学費計算!E$1,0),0)</f>
        <v>0</v>
      </c>
      <c r="Z60" s="3">
        <f>IFERROR(VLOOKUP($C60,学費計算!$C:$R,学費計算!F$1,0),0)</f>
        <v>0</v>
      </c>
      <c r="AA60" s="3">
        <f>IFERROR(VLOOKUP($C60,学費計算!$C:$R,学費計算!G$1,0),0)</f>
        <v>0</v>
      </c>
      <c r="AB60" s="14"/>
      <c r="AC60" s="18">
        <f t="shared" si="12"/>
        <v>0</v>
      </c>
      <c r="AD60" s="24">
        <f t="shared" si="13"/>
        <v>0</v>
      </c>
      <c r="AE60" s="5">
        <f>IF(AND($C60&gt;=0,$C60&lt;=入力!$P$36),AE$1,0)</f>
        <v>0</v>
      </c>
      <c r="AF60" s="3"/>
      <c r="AG60" s="3"/>
      <c r="AH60" s="3"/>
      <c r="AI60" s="3"/>
      <c r="AJ60" s="14"/>
      <c r="AK60" s="18">
        <f t="shared" si="7"/>
        <v>0</v>
      </c>
      <c r="AL60" s="24">
        <f t="shared" si="5"/>
        <v>0</v>
      </c>
      <c r="AM60" s="24">
        <f t="shared" si="14"/>
        <v>-1333.1079</v>
      </c>
    </row>
    <row r="61" spans="2:39" x14ac:dyDescent="0.25">
      <c r="B61" s="5">
        <f t="shared" si="15"/>
        <v>74</v>
      </c>
      <c r="C61" s="3">
        <f t="shared" si="9"/>
        <v>51</v>
      </c>
      <c r="D61" s="34"/>
      <c r="E61" s="3">
        <f>IF(親1!D61&lt;=833.3+42*親1!AS61,IF(AND(C61&gt;=0,C61&lt;=3),1.5*12,IF(AND(C61&gt;3,C61&lt;=15),1*12,0)),IF(AND(C61&gt;=0,C61&lt;=15),0.5*12,0))</f>
        <v>0</v>
      </c>
      <c r="F61" s="3"/>
      <c r="G61" s="3"/>
      <c r="H61" s="3"/>
      <c r="I61" s="14"/>
      <c r="J61" s="24">
        <f t="shared" si="16"/>
        <v>0</v>
      </c>
      <c r="K61" s="5"/>
      <c r="L61" s="3"/>
      <c r="M61" s="3">
        <f>IF(AND($C61&gt;=0,$C61&lt;=入力!$P$38),M$1,0)</f>
        <v>0</v>
      </c>
      <c r="N61" s="3">
        <f>IF(AND($C61&gt;=0,$C61&lt;=入力!$P$38),N$1,0)</f>
        <v>0</v>
      </c>
      <c r="O61" s="3">
        <f>IF(AND($C61&gt;=0,$C61&lt;=入力!$P$38),O$1,0)</f>
        <v>0</v>
      </c>
      <c r="P61" s="3">
        <f>IF(AND($C61&gt;=0,$C61&lt;=入力!$P$38),P$1,0)</f>
        <v>0</v>
      </c>
      <c r="Q61" s="3">
        <f>IF(AND($C61&gt;=0,$C61&lt;=入力!$P$38),Q$1,0)</f>
        <v>0</v>
      </c>
      <c r="R61" s="3"/>
      <c r="S61" s="14"/>
      <c r="T61" s="18">
        <f t="shared" si="10"/>
        <v>0</v>
      </c>
      <c r="U61" s="24">
        <f t="shared" si="11"/>
        <v>0</v>
      </c>
      <c r="V61" s="5"/>
      <c r="W61" s="3">
        <f>IF(AND($C61&gt;=10,$C61&lt;=入力!$P$38),W$1,0)</f>
        <v>0</v>
      </c>
      <c r="X61" s="3">
        <f>IFERROR(VLOOKUP($C61,学費計算!$C:$R,学費計算!D$1,0),0)</f>
        <v>0</v>
      </c>
      <c r="Y61" s="3">
        <f>IFERROR(VLOOKUP($C61,学費計算!$C:$R,学費計算!E$1,0),0)</f>
        <v>0</v>
      </c>
      <c r="Z61" s="3">
        <f>IFERROR(VLOOKUP($C61,学費計算!$C:$R,学費計算!F$1,0),0)</f>
        <v>0</v>
      </c>
      <c r="AA61" s="3">
        <f>IFERROR(VLOOKUP($C61,学費計算!$C:$R,学費計算!G$1,0),0)</f>
        <v>0</v>
      </c>
      <c r="AB61" s="14"/>
      <c r="AC61" s="18">
        <f t="shared" si="12"/>
        <v>0</v>
      </c>
      <c r="AD61" s="24">
        <f t="shared" si="13"/>
        <v>0</v>
      </c>
      <c r="AE61" s="5">
        <f>IF(AND($C61&gt;=0,$C61&lt;=入力!$P$36),AE$1,0)</f>
        <v>0</v>
      </c>
      <c r="AF61" s="3"/>
      <c r="AG61" s="3"/>
      <c r="AH61" s="3"/>
      <c r="AI61" s="3"/>
      <c r="AJ61" s="14"/>
      <c r="AK61" s="18">
        <f t="shared" si="7"/>
        <v>0</v>
      </c>
      <c r="AL61" s="24">
        <f t="shared" si="5"/>
        <v>0</v>
      </c>
      <c r="AM61" s="24">
        <f t="shared" si="14"/>
        <v>-1333.1079</v>
      </c>
    </row>
    <row r="62" spans="2:39" x14ac:dyDescent="0.25">
      <c r="B62" s="5">
        <f t="shared" si="15"/>
        <v>75</v>
      </c>
      <c r="C62" s="3">
        <f t="shared" si="9"/>
        <v>52</v>
      </c>
      <c r="D62" s="34"/>
      <c r="E62" s="3">
        <f>IF(親1!D62&lt;=833.3+42*親1!AS62,IF(AND(C62&gt;=0,C62&lt;=3),1.5*12,IF(AND(C62&gt;3,C62&lt;=15),1*12,0)),IF(AND(C62&gt;=0,C62&lt;=15),0.5*12,0))</f>
        <v>0</v>
      </c>
      <c r="F62" s="3"/>
      <c r="G62" s="3"/>
      <c r="H62" s="3"/>
      <c r="I62" s="14"/>
      <c r="J62" s="24">
        <f t="shared" si="16"/>
        <v>0</v>
      </c>
      <c r="K62" s="5"/>
      <c r="L62" s="3"/>
      <c r="M62" s="3">
        <f>IF(AND($C62&gt;=0,$C62&lt;=入力!$P$38),M$1,0)</f>
        <v>0</v>
      </c>
      <c r="N62" s="3">
        <f>IF(AND($C62&gt;=0,$C62&lt;=入力!$P$38),N$1,0)</f>
        <v>0</v>
      </c>
      <c r="O62" s="3">
        <f>IF(AND($C62&gt;=0,$C62&lt;=入力!$P$38),O$1,0)</f>
        <v>0</v>
      </c>
      <c r="P62" s="3">
        <f>IF(AND($C62&gt;=0,$C62&lt;=入力!$P$38),P$1,0)</f>
        <v>0</v>
      </c>
      <c r="Q62" s="3">
        <f>IF(AND($C62&gt;=0,$C62&lt;=入力!$P$38),Q$1,0)</f>
        <v>0</v>
      </c>
      <c r="R62" s="3"/>
      <c r="S62" s="14"/>
      <c r="T62" s="18">
        <f t="shared" si="10"/>
        <v>0</v>
      </c>
      <c r="U62" s="24">
        <f t="shared" si="11"/>
        <v>0</v>
      </c>
      <c r="V62" s="5"/>
      <c r="W62" s="3">
        <f>IF(AND($C62&gt;=10,$C62&lt;=入力!$P$38),W$1,0)</f>
        <v>0</v>
      </c>
      <c r="X62" s="3">
        <f>IFERROR(VLOOKUP($C62,学費計算!$C:$R,学費計算!D$1,0),0)</f>
        <v>0</v>
      </c>
      <c r="Y62" s="3">
        <f>IFERROR(VLOOKUP($C62,学費計算!$C:$R,学費計算!E$1,0),0)</f>
        <v>0</v>
      </c>
      <c r="Z62" s="3">
        <f>IFERROR(VLOOKUP($C62,学費計算!$C:$R,学費計算!F$1,0),0)</f>
        <v>0</v>
      </c>
      <c r="AA62" s="3">
        <f>IFERROR(VLOOKUP($C62,学費計算!$C:$R,学費計算!G$1,0),0)</f>
        <v>0</v>
      </c>
      <c r="AB62" s="14"/>
      <c r="AC62" s="18">
        <f t="shared" si="12"/>
        <v>0</v>
      </c>
      <c r="AD62" s="24">
        <f t="shared" si="13"/>
        <v>0</v>
      </c>
      <c r="AE62" s="5">
        <f>IF(AND($C62&gt;=0,$C62&lt;=入力!$P$36),AE$1,0)</f>
        <v>0</v>
      </c>
      <c r="AF62" s="3"/>
      <c r="AG62" s="3"/>
      <c r="AH62" s="3"/>
      <c r="AI62" s="3"/>
      <c r="AJ62" s="14"/>
      <c r="AK62" s="18">
        <f t="shared" si="7"/>
        <v>0</v>
      </c>
      <c r="AL62" s="24">
        <f t="shared" si="5"/>
        <v>0</v>
      </c>
      <c r="AM62" s="24">
        <f t="shared" si="14"/>
        <v>-1333.1079</v>
      </c>
    </row>
    <row r="63" spans="2:39" x14ac:dyDescent="0.25">
      <c r="B63" s="5">
        <f t="shared" si="15"/>
        <v>76</v>
      </c>
      <c r="C63" s="3">
        <f t="shared" si="9"/>
        <v>53</v>
      </c>
      <c r="D63" s="34"/>
      <c r="E63" s="3">
        <f>IF(親1!D63&lt;=833.3+42*親1!AS63,IF(AND(C63&gt;=0,C63&lt;=3),1.5*12,IF(AND(C63&gt;3,C63&lt;=15),1*12,0)),IF(AND(C63&gt;=0,C63&lt;=15),0.5*12,0))</f>
        <v>0</v>
      </c>
      <c r="F63" s="3"/>
      <c r="G63" s="3"/>
      <c r="H63" s="3"/>
      <c r="I63" s="14"/>
      <c r="J63" s="24">
        <f t="shared" si="16"/>
        <v>0</v>
      </c>
      <c r="K63" s="5"/>
      <c r="L63" s="3"/>
      <c r="M63" s="3">
        <f>IF(AND($C63&gt;=0,$C63&lt;=入力!$P$38),M$1,0)</f>
        <v>0</v>
      </c>
      <c r="N63" s="3">
        <f>IF(AND($C63&gt;=0,$C63&lt;=入力!$P$38),N$1,0)</f>
        <v>0</v>
      </c>
      <c r="O63" s="3">
        <f>IF(AND($C63&gt;=0,$C63&lt;=入力!$P$38),O$1,0)</f>
        <v>0</v>
      </c>
      <c r="P63" s="3">
        <f>IF(AND($C63&gt;=0,$C63&lt;=入力!$P$38),P$1,0)</f>
        <v>0</v>
      </c>
      <c r="Q63" s="3">
        <f>IF(AND($C63&gt;=0,$C63&lt;=入力!$P$38),Q$1,0)</f>
        <v>0</v>
      </c>
      <c r="R63" s="3"/>
      <c r="S63" s="14"/>
      <c r="T63" s="18">
        <f t="shared" si="10"/>
        <v>0</v>
      </c>
      <c r="U63" s="24">
        <f t="shared" si="11"/>
        <v>0</v>
      </c>
      <c r="V63" s="5"/>
      <c r="W63" s="3">
        <f>IF(AND($C63&gt;=10,$C63&lt;=入力!$P$38),W$1,0)</f>
        <v>0</v>
      </c>
      <c r="X63" s="3">
        <f>IFERROR(VLOOKUP($C63,学費計算!$C:$R,学費計算!D$1,0),0)</f>
        <v>0</v>
      </c>
      <c r="Y63" s="3">
        <f>IFERROR(VLOOKUP($C63,学費計算!$C:$R,学費計算!E$1,0),0)</f>
        <v>0</v>
      </c>
      <c r="Z63" s="3">
        <f>IFERROR(VLOOKUP($C63,学費計算!$C:$R,学費計算!F$1,0),0)</f>
        <v>0</v>
      </c>
      <c r="AA63" s="3">
        <f>IFERROR(VLOOKUP($C63,学費計算!$C:$R,学費計算!G$1,0),0)</f>
        <v>0</v>
      </c>
      <c r="AB63" s="14"/>
      <c r="AC63" s="18">
        <f t="shared" si="12"/>
        <v>0</v>
      </c>
      <c r="AD63" s="24">
        <f t="shared" si="13"/>
        <v>0</v>
      </c>
      <c r="AE63" s="5">
        <f>IF(AND($C63&gt;=0,$C63&lt;=入力!$P$36),AE$1,0)</f>
        <v>0</v>
      </c>
      <c r="AF63" s="3"/>
      <c r="AG63" s="3"/>
      <c r="AH63" s="3"/>
      <c r="AI63" s="3"/>
      <c r="AJ63" s="14"/>
      <c r="AK63" s="18">
        <f t="shared" si="7"/>
        <v>0</v>
      </c>
      <c r="AL63" s="24">
        <f t="shared" si="5"/>
        <v>0</v>
      </c>
      <c r="AM63" s="24">
        <f t="shared" si="14"/>
        <v>-1333.1079</v>
      </c>
    </row>
    <row r="64" spans="2:39" x14ac:dyDescent="0.25">
      <c r="B64" s="5">
        <f t="shared" si="15"/>
        <v>77</v>
      </c>
      <c r="C64" s="3">
        <f t="shared" si="9"/>
        <v>54</v>
      </c>
      <c r="D64" s="34"/>
      <c r="E64" s="3">
        <f>IF(親1!D64&lt;=833.3+42*親1!AS64,IF(AND(C64&gt;=0,C64&lt;=3),1.5*12,IF(AND(C64&gt;3,C64&lt;=15),1*12,0)),IF(AND(C64&gt;=0,C64&lt;=15),0.5*12,0))</f>
        <v>0</v>
      </c>
      <c r="F64" s="3"/>
      <c r="G64" s="3"/>
      <c r="H64" s="3"/>
      <c r="I64" s="14"/>
      <c r="J64" s="24">
        <f t="shared" si="16"/>
        <v>0</v>
      </c>
      <c r="K64" s="5"/>
      <c r="L64" s="3"/>
      <c r="M64" s="3">
        <f>IF(AND($C64&gt;=0,$C64&lt;=入力!$P$38),M$1,0)</f>
        <v>0</v>
      </c>
      <c r="N64" s="3">
        <f>IF(AND($C64&gt;=0,$C64&lt;=入力!$P$38),N$1,0)</f>
        <v>0</v>
      </c>
      <c r="O64" s="3">
        <f>IF(AND($C64&gt;=0,$C64&lt;=入力!$P$38),O$1,0)</f>
        <v>0</v>
      </c>
      <c r="P64" s="3">
        <f>IF(AND($C64&gt;=0,$C64&lt;=入力!$P$38),P$1,0)</f>
        <v>0</v>
      </c>
      <c r="Q64" s="3">
        <f>IF(AND($C64&gt;=0,$C64&lt;=入力!$P$38),Q$1,0)</f>
        <v>0</v>
      </c>
      <c r="R64" s="3"/>
      <c r="S64" s="14"/>
      <c r="T64" s="18">
        <f t="shared" si="10"/>
        <v>0</v>
      </c>
      <c r="U64" s="24">
        <f t="shared" si="11"/>
        <v>0</v>
      </c>
      <c r="V64" s="5"/>
      <c r="W64" s="3">
        <f>IF(AND($C64&gt;=10,$C64&lt;=入力!$P$38),W$1,0)</f>
        <v>0</v>
      </c>
      <c r="X64" s="3">
        <f>IFERROR(VLOOKUP($C64,学費計算!$C:$R,学費計算!D$1,0),0)</f>
        <v>0</v>
      </c>
      <c r="Y64" s="3">
        <f>IFERROR(VLOOKUP($C64,学費計算!$C:$R,学費計算!E$1,0),0)</f>
        <v>0</v>
      </c>
      <c r="Z64" s="3">
        <f>IFERROR(VLOOKUP($C64,学費計算!$C:$R,学費計算!F$1,0),0)</f>
        <v>0</v>
      </c>
      <c r="AA64" s="3">
        <f>IFERROR(VLOOKUP($C64,学費計算!$C:$R,学費計算!G$1,0),0)</f>
        <v>0</v>
      </c>
      <c r="AB64" s="14"/>
      <c r="AC64" s="18">
        <f t="shared" si="12"/>
        <v>0</v>
      </c>
      <c r="AD64" s="24">
        <f t="shared" si="13"/>
        <v>0</v>
      </c>
      <c r="AE64" s="5">
        <f>IF(AND($C64&gt;=0,$C64&lt;=入力!$P$36),AE$1,0)</f>
        <v>0</v>
      </c>
      <c r="AF64" s="3"/>
      <c r="AG64" s="3"/>
      <c r="AH64" s="3"/>
      <c r="AI64" s="3"/>
      <c r="AJ64" s="14"/>
      <c r="AK64" s="18">
        <f t="shared" si="7"/>
        <v>0</v>
      </c>
      <c r="AL64" s="24">
        <f t="shared" si="5"/>
        <v>0</v>
      </c>
      <c r="AM64" s="24">
        <f t="shared" si="14"/>
        <v>-1333.1079</v>
      </c>
    </row>
    <row r="65" spans="2:39" x14ac:dyDescent="0.25">
      <c r="B65" s="5">
        <f t="shared" si="15"/>
        <v>78</v>
      </c>
      <c r="C65" s="3">
        <f t="shared" si="9"/>
        <v>55</v>
      </c>
      <c r="D65" s="34"/>
      <c r="E65" s="3">
        <f>IF(親1!D65&lt;=833.3+42*親1!AS65,IF(AND(C65&gt;=0,C65&lt;=3),1.5*12,IF(AND(C65&gt;3,C65&lt;=15),1*12,0)),IF(AND(C65&gt;=0,C65&lt;=15),0.5*12,0))</f>
        <v>0</v>
      </c>
      <c r="F65" s="3"/>
      <c r="G65" s="3"/>
      <c r="H65" s="3"/>
      <c r="I65" s="14"/>
      <c r="J65" s="24">
        <f t="shared" si="16"/>
        <v>0</v>
      </c>
      <c r="K65" s="5"/>
      <c r="L65" s="3"/>
      <c r="M65" s="3">
        <f>IF(AND($C65&gt;=0,$C65&lt;=入力!$P$38),M$1,0)</f>
        <v>0</v>
      </c>
      <c r="N65" s="3">
        <f>IF(AND($C65&gt;=0,$C65&lt;=入力!$P$38),N$1,0)</f>
        <v>0</v>
      </c>
      <c r="O65" s="3">
        <f>IF(AND($C65&gt;=0,$C65&lt;=入力!$P$38),O$1,0)</f>
        <v>0</v>
      </c>
      <c r="P65" s="3">
        <f>IF(AND($C65&gt;=0,$C65&lt;=入力!$P$38),P$1,0)</f>
        <v>0</v>
      </c>
      <c r="Q65" s="3">
        <f>IF(AND($C65&gt;=0,$C65&lt;=入力!$P$38),Q$1,0)</f>
        <v>0</v>
      </c>
      <c r="R65" s="3"/>
      <c r="S65" s="14"/>
      <c r="T65" s="18">
        <f t="shared" si="10"/>
        <v>0</v>
      </c>
      <c r="U65" s="24">
        <f t="shared" si="11"/>
        <v>0</v>
      </c>
      <c r="V65" s="5"/>
      <c r="W65" s="3">
        <f>IF(AND($C65&gt;=10,$C65&lt;=入力!$P$38),W$1,0)</f>
        <v>0</v>
      </c>
      <c r="X65" s="3">
        <f>IFERROR(VLOOKUP($C65,学費計算!$C:$R,学費計算!D$1,0),0)</f>
        <v>0</v>
      </c>
      <c r="Y65" s="3">
        <f>IFERROR(VLOOKUP($C65,学費計算!$C:$R,学費計算!E$1,0),0)</f>
        <v>0</v>
      </c>
      <c r="Z65" s="3">
        <f>IFERROR(VLOOKUP($C65,学費計算!$C:$R,学費計算!F$1,0),0)</f>
        <v>0</v>
      </c>
      <c r="AA65" s="3">
        <f>IFERROR(VLOOKUP($C65,学費計算!$C:$R,学費計算!G$1,0),0)</f>
        <v>0</v>
      </c>
      <c r="AB65" s="14"/>
      <c r="AC65" s="18">
        <f t="shared" si="12"/>
        <v>0</v>
      </c>
      <c r="AD65" s="24">
        <f t="shared" si="13"/>
        <v>0</v>
      </c>
      <c r="AE65" s="5">
        <f>IF(AND($C65&gt;=0,$C65&lt;=入力!$P$36),AE$1,0)</f>
        <v>0</v>
      </c>
      <c r="AF65" s="3"/>
      <c r="AG65" s="3"/>
      <c r="AH65" s="3"/>
      <c r="AI65" s="3"/>
      <c r="AJ65" s="14"/>
      <c r="AK65" s="18">
        <f t="shared" si="7"/>
        <v>0</v>
      </c>
      <c r="AL65" s="24">
        <f t="shared" si="5"/>
        <v>0</v>
      </c>
      <c r="AM65" s="24">
        <f t="shared" si="14"/>
        <v>-1333.1079</v>
      </c>
    </row>
    <row r="66" spans="2:39" x14ac:dyDescent="0.25">
      <c r="B66" s="5">
        <f t="shared" si="15"/>
        <v>79</v>
      </c>
      <c r="C66" s="3">
        <f t="shared" si="9"/>
        <v>56</v>
      </c>
      <c r="D66" s="34"/>
      <c r="E66" s="3">
        <f>IF(親1!D66&lt;=833.3+42*親1!AS66,IF(AND(C66&gt;=0,C66&lt;=3),1.5*12,IF(AND(C66&gt;3,C66&lt;=15),1*12,0)),IF(AND(C66&gt;=0,C66&lt;=15),0.5*12,0))</f>
        <v>0</v>
      </c>
      <c r="F66" s="3"/>
      <c r="G66" s="3"/>
      <c r="H66" s="3"/>
      <c r="I66" s="14"/>
      <c r="J66" s="24">
        <f t="shared" si="16"/>
        <v>0</v>
      </c>
      <c r="K66" s="5"/>
      <c r="L66" s="3"/>
      <c r="M66" s="3">
        <f>IF(AND($C66&gt;=0,$C66&lt;=入力!$P$38),M$1,0)</f>
        <v>0</v>
      </c>
      <c r="N66" s="3">
        <f>IF(AND($C66&gt;=0,$C66&lt;=入力!$P$38),N$1,0)</f>
        <v>0</v>
      </c>
      <c r="O66" s="3">
        <f>IF(AND($C66&gt;=0,$C66&lt;=入力!$P$38),O$1,0)</f>
        <v>0</v>
      </c>
      <c r="P66" s="3">
        <f>IF(AND($C66&gt;=0,$C66&lt;=入力!$P$38),P$1,0)</f>
        <v>0</v>
      </c>
      <c r="Q66" s="3">
        <f>IF(AND($C66&gt;=0,$C66&lt;=入力!$P$38),Q$1,0)</f>
        <v>0</v>
      </c>
      <c r="R66" s="3"/>
      <c r="S66" s="14"/>
      <c r="T66" s="18">
        <f t="shared" si="10"/>
        <v>0</v>
      </c>
      <c r="U66" s="24">
        <f t="shared" si="11"/>
        <v>0</v>
      </c>
      <c r="V66" s="5"/>
      <c r="W66" s="3">
        <f>IF(AND($C66&gt;=10,$C66&lt;=入力!$P$38),W$1,0)</f>
        <v>0</v>
      </c>
      <c r="X66" s="3">
        <f>IFERROR(VLOOKUP($C66,学費計算!$C:$R,学費計算!D$1,0),0)</f>
        <v>0</v>
      </c>
      <c r="Y66" s="3">
        <f>IFERROR(VLOOKUP($C66,学費計算!$C:$R,学費計算!E$1,0),0)</f>
        <v>0</v>
      </c>
      <c r="Z66" s="3">
        <f>IFERROR(VLOOKUP($C66,学費計算!$C:$R,学費計算!F$1,0),0)</f>
        <v>0</v>
      </c>
      <c r="AA66" s="3">
        <f>IFERROR(VLOOKUP($C66,学費計算!$C:$R,学費計算!G$1,0),0)</f>
        <v>0</v>
      </c>
      <c r="AB66" s="14"/>
      <c r="AC66" s="18">
        <f t="shared" si="12"/>
        <v>0</v>
      </c>
      <c r="AD66" s="24">
        <f t="shared" si="13"/>
        <v>0</v>
      </c>
      <c r="AE66" s="5">
        <f>IF(AND($C66&gt;=0,$C66&lt;=入力!$P$36),AE$1,0)</f>
        <v>0</v>
      </c>
      <c r="AF66" s="3"/>
      <c r="AG66" s="3"/>
      <c r="AH66" s="3"/>
      <c r="AI66" s="3"/>
      <c r="AJ66" s="14"/>
      <c r="AK66" s="18">
        <f t="shared" si="7"/>
        <v>0</v>
      </c>
      <c r="AL66" s="24">
        <f t="shared" si="5"/>
        <v>0</v>
      </c>
      <c r="AM66" s="24">
        <f t="shared" si="14"/>
        <v>-1333.1079</v>
      </c>
    </row>
    <row r="67" spans="2:39" x14ac:dyDescent="0.25">
      <c r="B67" s="5">
        <f t="shared" si="15"/>
        <v>80</v>
      </c>
      <c r="C67" s="3">
        <f t="shared" si="9"/>
        <v>57</v>
      </c>
      <c r="D67" s="34"/>
      <c r="E67" s="3">
        <f>IF(親1!D67&lt;=833.3+42*親1!AS67,IF(AND(C67&gt;=0,C67&lt;=3),1.5*12,IF(AND(C67&gt;3,C67&lt;=15),1*12,0)),IF(AND(C67&gt;=0,C67&lt;=15),0.5*12,0))</f>
        <v>0</v>
      </c>
      <c r="F67" s="3"/>
      <c r="G67" s="3"/>
      <c r="H67" s="3"/>
      <c r="I67" s="14"/>
      <c r="J67" s="24">
        <f t="shared" si="16"/>
        <v>0</v>
      </c>
      <c r="K67" s="5"/>
      <c r="L67" s="3"/>
      <c r="M67" s="3">
        <f>IF(AND($C67&gt;=0,$C67&lt;=入力!$P$38),M$1,0)</f>
        <v>0</v>
      </c>
      <c r="N67" s="3">
        <f>IF(AND($C67&gt;=0,$C67&lt;=入力!$P$38),N$1,0)</f>
        <v>0</v>
      </c>
      <c r="O67" s="3">
        <f>IF(AND($C67&gt;=0,$C67&lt;=入力!$P$38),O$1,0)</f>
        <v>0</v>
      </c>
      <c r="P67" s="3">
        <f>IF(AND($C67&gt;=0,$C67&lt;=入力!$P$38),P$1,0)</f>
        <v>0</v>
      </c>
      <c r="Q67" s="3">
        <f>IF(AND($C67&gt;=0,$C67&lt;=入力!$P$38),Q$1,0)</f>
        <v>0</v>
      </c>
      <c r="R67" s="3"/>
      <c r="S67" s="14"/>
      <c r="T67" s="18">
        <f t="shared" si="10"/>
        <v>0</v>
      </c>
      <c r="U67" s="24">
        <f t="shared" si="11"/>
        <v>0</v>
      </c>
      <c r="V67" s="5"/>
      <c r="W67" s="3">
        <f>IF(AND($C67&gt;=10,$C67&lt;=入力!$P$38),W$1,0)</f>
        <v>0</v>
      </c>
      <c r="X67" s="3">
        <f>IFERROR(VLOOKUP($C67,学費計算!$C:$R,学費計算!D$1,0),0)</f>
        <v>0</v>
      </c>
      <c r="Y67" s="3">
        <f>IFERROR(VLOOKUP($C67,学費計算!$C:$R,学費計算!E$1,0),0)</f>
        <v>0</v>
      </c>
      <c r="Z67" s="3">
        <f>IFERROR(VLOOKUP($C67,学費計算!$C:$R,学費計算!F$1,0),0)</f>
        <v>0</v>
      </c>
      <c r="AA67" s="3">
        <f>IFERROR(VLOOKUP($C67,学費計算!$C:$R,学費計算!G$1,0),0)</f>
        <v>0</v>
      </c>
      <c r="AB67" s="14"/>
      <c r="AC67" s="18">
        <f t="shared" si="12"/>
        <v>0</v>
      </c>
      <c r="AD67" s="24">
        <f t="shared" si="13"/>
        <v>0</v>
      </c>
      <c r="AE67" s="5">
        <f>IF(AND($C67&gt;=0,$C67&lt;=入力!$P$36),AE$1,0)</f>
        <v>0</v>
      </c>
      <c r="AF67" s="3"/>
      <c r="AG67" s="3"/>
      <c r="AH67" s="3"/>
      <c r="AI67" s="3"/>
      <c r="AJ67" s="14"/>
      <c r="AK67" s="18">
        <f t="shared" si="7"/>
        <v>0</v>
      </c>
      <c r="AL67" s="24">
        <f t="shared" si="5"/>
        <v>0</v>
      </c>
      <c r="AM67" s="24">
        <f t="shared" si="14"/>
        <v>-1333.1079</v>
      </c>
    </row>
    <row r="68" spans="2:39" x14ac:dyDescent="0.25">
      <c r="B68" s="5">
        <f t="shared" si="15"/>
        <v>81</v>
      </c>
      <c r="C68" s="3">
        <f t="shared" si="9"/>
        <v>58</v>
      </c>
      <c r="D68" s="34"/>
      <c r="E68" s="3">
        <f>IF(親1!D68&lt;=833.3+42*親1!AS68,IF(AND(C68&gt;=0,C68&lt;=3),1.5*12,IF(AND(C68&gt;3,C68&lt;=15),1*12,0)),IF(AND(C68&gt;=0,C68&lt;=15),0.5*12,0))</f>
        <v>0</v>
      </c>
      <c r="F68" s="3"/>
      <c r="G68" s="3"/>
      <c r="H68" s="3"/>
      <c r="I68" s="14"/>
      <c r="J68" s="24">
        <f t="shared" si="16"/>
        <v>0</v>
      </c>
      <c r="K68" s="5"/>
      <c r="L68" s="3"/>
      <c r="M68" s="3">
        <f>IF(AND($C68&gt;=0,$C68&lt;=入力!$P$38),M$1,0)</f>
        <v>0</v>
      </c>
      <c r="N68" s="3">
        <f>IF(AND($C68&gt;=0,$C68&lt;=入力!$P$38),N$1,0)</f>
        <v>0</v>
      </c>
      <c r="O68" s="3">
        <f>IF(AND($C68&gt;=0,$C68&lt;=入力!$P$38),O$1,0)</f>
        <v>0</v>
      </c>
      <c r="P68" s="3">
        <f>IF(AND($C68&gt;=0,$C68&lt;=入力!$P$38),P$1,0)</f>
        <v>0</v>
      </c>
      <c r="Q68" s="3">
        <f>IF(AND($C68&gt;=0,$C68&lt;=入力!$P$38),Q$1,0)</f>
        <v>0</v>
      </c>
      <c r="R68" s="3"/>
      <c r="S68" s="14"/>
      <c r="T68" s="18">
        <f t="shared" si="10"/>
        <v>0</v>
      </c>
      <c r="U68" s="24">
        <f t="shared" si="11"/>
        <v>0</v>
      </c>
      <c r="V68" s="5"/>
      <c r="W68" s="3">
        <f>IF(AND($C68&gt;=10,$C68&lt;=入力!$P$38),W$1,0)</f>
        <v>0</v>
      </c>
      <c r="X68" s="3">
        <f>IFERROR(VLOOKUP($C68,学費計算!$C:$R,学費計算!D$1,0),0)</f>
        <v>0</v>
      </c>
      <c r="Y68" s="3">
        <f>IFERROR(VLOOKUP($C68,学費計算!$C:$R,学費計算!E$1,0),0)</f>
        <v>0</v>
      </c>
      <c r="Z68" s="3">
        <f>IFERROR(VLOOKUP($C68,学費計算!$C:$R,学費計算!F$1,0),0)</f>
        <v>0</v>
      </c>
      <c r="AA68" s="3">
        <f>IFERROR(VLOOKUP($C68,学費計算!$C:$R,学費計算!G$1,0),0)</f>
        <v>0</v>
      </c>
      <c r="AB68" s="14"/>
      <c r="AC68" s="18">
        <f t="shared" si="12"/>
        <v>0</v>
      </c>
      <c r="AD68" s="24">
        <f t="shared" si="13"/>
        <v>0</v>
      </c>
      <c r="AE68" s="5">
        <f>IF(AND($C68&gt;=0,$C68&lt;=入力!$P$36),AE$1,0)</f>
        <v>0</v>
      </c>
      <c r="AF68" s="3"/>
      <c r="AG68" s="3"/>
      <c r="AH68" s="3"/>
      <c r="AI68" s="3"/>
      <c r="AJ68" s="14"/>
      <c r="AK68" s="18">
        <f t="shared" si="7"/>
        <v>0</v>
      </c>
      <c r="AL68" s="24">
        <f t="shared" si="5"/>
        <v>0</v>
      </c>
      <c r="AM68" s="24">
        <f t="shared" si="14"/>
        <v>-1333.1079</v>
      </c>
    </row>
    <row r="69" spans="2:39" x14ac:dyDescent="0.25">
      <c r="B69" s="5">
        <f t="shared" si="15"/>
        <v>82</v>
      </c>
      <c r="C69" s="3">
        <f t="shared" si="9"/>
        <v>59</v>
      </c>
      <c r="D69" s="34"/>
      <c r="E69" s="3">
        <f>IF(親1!D69&lt;=833.3+42*親1!AS69,IF(AND(C69&gt;=0,C69&lt;=3),1.5*12,IF(AND(C69&gt;3,C69&lt;=15),1*12,0)),IF(AND(C69&gt;=0,C69&lt;=15),0.5*12,0))</f>
        <v>0</v>
      </c>
      <c r="F69" s="3"/>
      <c r="G69" s="3"/>
      <c r="H69" s="3"/>
      <c r="I69" s="14"/>
      <c r="J69" s="24">
        <f t="shared" si="16"/>
        <v>0</v>
      </c>
      <c r="K69" s="5"/>
      <c r="L69" s="3"/>
      <c r="M69" s="3">
        <f>IF(AND($C69&gt;=0,$C69&lt;=入力!$P$38),M$1,0)</f>
        <v>0</v>
      </c>
      <c r="N69" s="3">
        <f>IF(AND($C69&gt;=0,$C69&lt;=入力!$P$38),N$1,0)</f>
        <v>0</v>
      </c>
      <c r="O69" s="3">
        <f>IF(AND($C69&gt;=0,$C69&lt;=入力!$P$38),O$1,0)</f>
        <v>0</v>
      </c>
      <c r="P69" s="3">
        <f>IF(AND($C69&gt;=0,$C69&lt;=入力!$P$38),P$1,0)</f>
        <v>0</v>
      </c>
      <c r="Q69" s="3">
        <f>IF(AND($C69&gt;=0,$C69&lt;=入力!$P$38),Q$1,0)</f>
        <v>0</v>
      </c>
      <c r="R69" s="3"/>
      <c r="S69" s="14"/>
      <c r="T69" s="18">
        <f t="shared" si="10"/>
        <v>0</v>
      </c>
      <c r="U69" s="24">
        <f t="shared" si="11"/>
        <v>0</v>
      </c>
      <c r="V69" s="5"/>
      <c r="W69" s="3">
        <f>IF(AND($C69&gt;=10,$C69&lt;=入力!$P$38),W$1,0)</f>
        <v>0</v>
      </c>
      <c r="X69" s="3">
        <f>IFERROR(VLOOKUP($C69,学費計算!$C:$R,学費計算!D$1,0),0)</f>
        <v>0</v>
      </c>
      <c r="Y69" s="3">
        <f>IFERROR(VLOOKUP($C69,学費計算!$C:$R,学費計算!E$1,0),0)</f>
        <v>0</v>
      </c>
      <c r="Z69" s="3">
        <f>IFERROR(VLOOKUP($C69,学費計算!$C:$R,学費計算!F$1,0),0)</f>
        <v>0</v>
      </c>
      <c r="AA69" s="3">
        <f>IFERROR(VLOOKUP($C69,学費計算!$C:$R,学費計算!G$1,0),0)</f>
        <v>0</v>
      </c>
      <c r="AB69" s="3"/>
      <c r="AC69" s="27">
        <f t="shared" si="12"/>
        <v>0</v>
      </c>
      <c r="AD69" s="24">
        <f t="shared" si="13"/>
        <v>0</v>
      </c>
      <c r="AE69" s="5">
        <f>IF(AND($C69&gt;=0,$C69&lt;=入力!$P$36),AE$1,0)</f>
        <v>0</v>
      </c>
      <c r="AF69" s="3"/>
      <c r="AG69" s="3"/>
      <c r="AH69" s="3"/>
      <c r="AI69" s="3"/>
      <c r="AJ69" s="14"/>
      <c r="AK69" s="18">
        <f t="shared" si="7"/>
        <v>0</v>
      </c>
      <c r="AL69" s="24">
        <f t="shared" si="5"/>
        <v>0</v>
      </c>
      <c r="AM69" s="24">
        <f t="shared" si="14"/>
        <v>-1333.1079</v>
      </c>
    </row>
    <row r="70" spans="2:39" ht="15" thickBot="1" x14ac:dyDescent="0.3">
      <c r="B70" s="5">
        <f t="shared" si="15"/>
        <v>83</v>
      </c>
      <c r="C70" s="3">
        <f t="shared" si="9"/>
        <v>60</v>
      </c>
      <c r="D70" s="34"/>
      <c r="E70" s="3">
        <f>IF(親1!D70&lt;=833.3+42*親1!AS70,IF(AND(C70&gt;=0,C70&lt;=3),1.5*12,IF(AND(C70&gt;3,C70&lt;=15),1*12,0)),IF(AND(C70&gt;=0,C70&lt;=15),0.5*12,0))</f>
        <v>0</v>
      </c>
      <c r="F70" s="3"/>
      <c r="G70" s="3"/>
      <c r="H70" s="3"/>
      <c r="I70" s="14"/>
      <c r="J70" s="24">
        <f t="shared" si="16"/>
        <v>0</v>
      </c>
      <c r="K70" s="5"/>
      <c r="L70" s="3"/>
      <c r="M70" s="3">
        <f>IF(AND($C70&gt;=0,$C70&lt;=入力!$P$38),M$1,0)</f>
        <v>0</v>
      </c>
      <c r="N70" s="3">
        <f>IF(AND($C70&gt;=0,$C70&lt;=入力!$P$38),N$1,0)</f>
        <v>0</v>
      </c>
      <c r="O70" s="3">
        <f>IF(AND($C70&gt;=0,$C70&lt;=入力!$P$38),O$1,0)</f>
        <v>0</v>
      </c>
      <c r="P70" s="3">
        <f>IF(AND($C70&gt;=0,$C70&lt;=入力!$P$38),P$1,0)</f>
        <v>0</v>
      </c>
      <c r="Q70" s="3">
        <f>IF(AND($C70&gt;=0,$C70&lt;=入力!$P$38),Q$1,0)</f>
        <v>0</v>
      </c>
      <c r="R70" s="3"/>
      <c r="S70" s="14"/>
      <c r="T70" s="18">
        <f t="shared" ref="T70" si="17">SUM(K70:S70)</f>
        <v>0</v>
      </c>
      <c r="U70" s="24">
        <f t="shared" ref="U70" si="18">J70-T70</f>
        <v>0</v>
      </c>
      <c r="V70" s="5"/>
      <c r="W70" s="3">
        <f>IF(AND($C70&gt;=10,$C70&lt;=入力!$P$38),W$1,0)</f>
        <v>0</v>
      </c>
      <c r="X70" s="3">
        <f>IFERROR(VLOOKUP($C70,学費計算!$C:$R,学費計算!D$1,0),0)</f>
        <v>0</v>
      </c>
      <c r="Y70" s="3">
        <f>IFERROR(VLOOKUP($C70,学費計算!$C:$R,学費計算!E$1,0),0)</f>
        <v>0</v>
      </c>
      <c r="Z70" s="3">
        <f>IFERROR(VLOOKUP($C70,学費計算!$C:$R,学費計算!F$1,0),0)</f>
        <v>0</v>
      </c>
      <c r="AA70" s="3">
        <f>IFERROR(VLOOKUP($C70,学費計算!$C:$R,学費計算!G$1,0),0)</f>
        <v>0</v>
      </c>
      <c r="AB70" s="3"/>
      <c r="AC70" s="27">
        <f t="shared" ref="AC70" si="19">SUM(V70:AB70)</f>
        <v>0</v>
      </c>
      <c r="AD70" s="24">
        <f t="shared" ref="AD70" si="20">U70-AC70</f>
        <v>0</v>
      </c>
      <c r="AE70" s="5">
        <f>IF(AND($C70&gt;=0,$C70&lt;=入力!$P$36),AE$1,0)</f>
        <v>0</v>
      </c>
      <c r="AF70" s="3"/>
      <c r="AG70" s="3"/>
      <c r="AH70" s="3"/>
      <c r="AI70" s="3"/>
      <c r="AJ70" s="14"/>
      <c r="AK70" s="18">
        <f t="shared" si="7"/>
        <v>0</v>
      </c>
      <c r="AL70" s="24">
        <f t="shared" ref="AL70" si="21">AD70-AK70</f>
        <v>0</v>
      </c>
      <c r="AM70" s="25">
        <f t="shared" ref="AM70" si="22">AL70+AM69</f>
        <v>-1333.1079</v>
      </c>
    </row>
    <row r="71" spans="2:39" ht="15" thickTop="1" x14ac:dyDescent="0.25">
      <c r="B71" s="35"/>
      <c r="C71" s="2"/>
      <c r="D71" s="36">
        <f t="shared" ref="D71:Q71" si="23">SUM(D6:D70)</f>
        <v>0</v>
      </c>
      <c r="E71" s="2">
        <f t="shared" si="23"/>
        <v>216</v>
      </c>
      <c r="F71" s="2">
        <f t="shared" si="23"/>
        <v>0</v>
      </c>
      <c r="G71" s="2"/>
      <c r="H71" s="2">
        <f t="shared" si="23"/>
        <v>0</v>
      </c>
      <c r="I71" s="37">
        <f t="shared" si="23"/>
        <v>0</v>
      </c>
      <c r="J71" s="38">
        <f t="shared" si="23"/>
        <v>216</v>
      </c>
      <c r="K71" s="35">
        <f t="shared" si="23"/>
        <v>0</v>
      </c>
      <c r="L71" s="2">
        <f t="shared" si="23"/>
        <v>0</v>
      </c>
      <c r="M71" s="2">
        <f t="shared" si="23"/>
        <v>409.85999999999996</v>
      </c>
      <c r="N71" s="2">
        <f t="shared" si="23"/>
        <v>151.79999999999993</v>
      </c>
      <c r="O71" s="2">
        <f t="shared" si="23"/>
        <v>37.949999999999982</v>
      </c>
      <c r="P71" s="2">
        <f t="shared" si="23"/>
        <v>30.360000000000007</v>
      </c>
      <c r="Q71" s="2">
        <f t="shared" si="23"/>
        <v>18.974999999999991</v>
      </c>
      <c r="R71" s="2"/>
      <c r="S71" s="2">
        <f t="shared" ref="S71:AK71" si="24">SUM(S6:S70)</f>
        <v>0</v>
      </c>
      <c r="T71" s="39">
        <f t="shared" si="24"/>
        <v>648.94500000000039</v>
      </c>
      <c r="U71" s="38">
        <f t="shared" si="24"/>
        <v>-432.94500000000028</v>
      </c>
      <c r="V71" s="2">
        <f t="shared" si="24"/>
        <v>0</v>
      </c>
      <c r="W71" s="2">
        <f t="shared" si="24"/>
        <v>31.199999999999996</v>
      </c>
      <c r="X71" s="2">
        <f t="shared" si="24"/>
        <v>72</v>
      </c>
      <c r="Y71" s="2">
        <f t="shared" si="24"/>
        <v>144</v>
      </c>
      <c r="Z71" s="2">
        <f t="shared" si="24"/>
        <v>538.96289999999999</v>
      </c>
      <c r="AA71" s="2">
        <f t="shared" si="24"/>
        <v>0</v>
      </c>
      <c r="AB71" s="2">
        <f t="shared" si="24"/>
        <v>0</v>
      </c>
      <c r="AC71" s="39">
        <f t="shared" si="24"/>
        <v>786.16289999999992</v>
      </c>
      <c r="AD71" s="38">
        <f t="shared" si="24"/>
        <v>-1219.1079</v>
      </c>
      <c r="AE71" s="35">
        <f t="shared" si="24"/>
        <v>114</v>
      </c>
      <c r="AF71" s="2">
        <f t="shared" si="24"/>
        <v>0</v>
      </c>
      <c r="AG71" s="2">
        <f t="shared" si="24"/>
        <v>0</v>
      </c>
      <c r="AH71" s="2">
        <f t="shared" si="24"/>
        <v>0</v>
      </c>
      <c r="AI71" s="2">
        <f t="shared" si="24"/>
        <v>0</v>
      </c>
      <c r="AJ71" s="37">
        <f t="shared" si="24"/>
        <v>0</v>
      </c>
      <c r="AK71" s="40">
        <f t="shared" si="24"/>
        <v>114</v>
      </c>
      <c r="AL71" s="38">
        <f>SUM(AL5:AL70)</f>
        <v>-1333.1079</v>
      </c>
      <c r="AM71"/>
    </row>
    <row r="72" spans="2:39" x14ac:dyDescent="0.25">
      <c r="AM72"/>
    </row>
    <row r="73" spans="2:39" x14ac:dyDescent="0.25">
      <c r="AM73"/>
    </row>
    <row r="74" spans="2:39" x14ac:dyDescent="0.25">
      <c r="Z74" s="1">
        <f>SUMIF($C$6:$C$70,"&gt;=18",Z6:Z70)</f>
        <v>253.96509999999995</v>
      </c>
      <c r="AA74" s="1">
        <f>SUMIF($C$6:$C$70,"&gt;=18",AA6:AA70)</f>
        <v>0</v>
      </c>
      <c r="AM74"/>
    </row>
  </sheetData>
  <phoneticPr fontId="2"/>
  <pageMargins left="0.7" right="0.7" top="0.75" bottom="0.75" header="0.3" footer="0.3"/>
  <pageSetup paperSize="8"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00"/>
  </sheetPr>
  <dimension ref="B1:AQ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Z28" sqref="Z28"/>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2" width="5.125" style="1" bestFit="1" customWidth="1"/>
    <col min="23" max="23" width="6.25" style="1" bestFit="1" customWidth="1"/>
    <col min="24" max="24" width="7.375" style="1" customWidth="1"/>
    <col min="25" max="25" width="6.25" style="1" bestFit="1" customWidth="1"/>
    <col min="26" max="27" width="4.875" style="1" bestFit="1" customWidth="1"/>
    <col min="28"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s>
  <sheetData>
    <row r="1" spans="2:43" x14ac:dyDescent="0.25">
      <c r="M1" s="3">
        <f>IF($C$30&gt;0,入力!AD13*12*(1+入力!$AD$16),0)</f>
        <v>17.820000000000004</v>
      </c>
      <c r="N1" s="3">
        <f>IF($C$30&gt;0,入力!AE13*12*(1+入力!$AD$16),0)</f>
        <v>6.6000000000000005</v>
      </c>
      <c r="O1" s="3">
        <f>IF($C$30&gt;0,入力!AF13*12*(1+入力!$AD$16),0)</f>
        <v>1.6500000000000001</v>
      </c>
      <c r="P1" s="3">
        <f>IF($C$30&gt;0,入力!AG13*12*(1+入力!$AD$16),0)</f>
        <v>1.3200000000000003</v>
      </c>
      <c r="Q1" s="3">
        <f>IF($C$30&gt;0,入力!AH13*12*(1+入力!$AD$16),0)</f>
        <v>0.82500000000000007</v>
      </c>
      <c r="W1" s="3">
        <f>IF($C$30&gt;0,入力!AJ13*12,0)</f>
        <v>2.4000000000000004</v>
      </c>
      <c r="AE1" s="1">
        <f>入力!P35*12</f>
        <v>6</v>
      </c>
    </row>
    <row r="2" spans="2:43"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2:43"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2:43"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t="s">
        <v>444</v>
      </c>
      <c r="AB4" s="68"/>
      <c r="AC4" s="69"/>
      <c r="AD4" s="65"/>
      <c r="AE4" s="11" t="s">
        <v>162</v>
      </c>
      <c r="AF4" s="12" t="s">
        <v>29</v>
      </c>
      <c r="AG4" s="12" t="s">
        <v>30</v>
      </c>
      <c r="AH4" s="12" t="s">
        <v>31</v>
      </c>
      <c r="AI4" s="12" t="s">
        <v>214</v>
      </c>
      <c r="AJ4" s="13" t="s">
        <v>274</v>
      </c>
      <c r="AK4" s="17" t="s">
        <v>35</v>
      </c>
      <c r="AL4" s="23"/>
      <c r="AM4" s="23"/>
    </row>
    <row r="5" spans="2:43"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2:43" x14ac:dyDescent="0.25">
      <c r="B6" s="5">
        <v>19</v>
      </c>
      <c r="C6" s="3">
        <f>IF(入力!$Q$11="",-100,入力!$Q$11)</f>
        <v>-7</v>
      </c>
      <c r="D6" s="34"/>
      <c r="E6" s="3">
        <f>IF(親1!D6&lt;=833.3+42*親1!AS6,IF(AND(C6&gt;=0,C6&lt;=3),1.5*12,IF(AND(C6&gt;3,C6&lt;=15),1*12,0)),IF(AND(C6&gt;=0,C6&lt;=15),0.5*12,0))</f>
        <v>0</v>
      </c>
      <c r="F6" s="3"/>
      <c r="G6" s="3"/>
      <c r="H6" s="3"/>
      <c r="I6" s="14"/>
      <c r="J6" s="24">
        <f t="shared" ref="J6:J39" si="0">SUM(E6:I6)</f>
        <v>0</v>
      </c>
      <c r="K6" s="5"/>
      <c r="L6" s="3"/>
      <c r="M6" s="3">
        <f>IF(AND($C6&gt;=0,$C6&lt;=入力!$Q$38),M$1,0)</f>
        <v>0</v>
      </c>
      <c r="N6" s="3">
        <f>IF(AND($C6&gt;=0,$C6&lt;=入力!$Q$38),N$1,0)</f>
        <v>0</v>
      </c>
      <c r="O6" s="3">
        <f>IF(AND($C6&gt;=0,$C6&lt;=入力!$Q$38),O$1,0)</f>
        <v>0</v>
      </c>
      <c r="P6" s="3">
        <f>IF(AND($C6&gt;=0,$C6&lt;=入力!$Q$38),P$1,0)</f>
        <v>0</v>
      </c>
      <c r="Q6" s="3">
        <f>IF(AND($C6&gt;=0,$C6&lt;=入力!$Q$38),Q$1,0)</f>
        <v>0</v>
      </c>
      <c r="R6" s="3"/>
      <c r="S6" s="14"/>
      <c r="T6" s="18">
        <f t="shared" ref="T6:T37" si="1">SUM(K6:S6)</f>
        <v>0</v>
      </c>
      <c r="U6" s="24">
        <f t="shared" ref="U6:U37" si="2">J6-T6</f>
        <v>0</v>
      </c>
      <c r="V6" s="5"/>
      <c r="W6" s="3">
        <f>IF(AND($C6&gt;=10,$C6&lt;=入力!$Q$38),W$1,0)</f>
        <v>0</v>
      </c>
      <c r="X6" s="3">
        <f>IFERROR(VLOOKUP($C6,学費計算!$C:$R,学費計算!H$1,0),0)</f>
        <v>0</v>
      </c>
      <c r="Y6" s="3">
        <f>IFERROR(VLOOKUP($C6,学費計算!$C:$R,学費計算!I$1,0),0)</f>
        <v>0</v>
      </c>
      <c r="Z6" s="3">
        <f>IFERROR(VLOOKUP($C6,学費計算!$C:$R,学費計算!J$1,0),0)</f>
        <v>0</v>
      </c>
      <c r="AA6" s="3">
        <f>IFERROR(VLOOKUP($C6,学費計算!$C:$R,学費計算!K$1,0),0)</f>
        <v>0</v>
      </c>
      <c r="AB6" s="14"/>
      <c r="AC6" s="18">
        <f t="shared" ref="AC6:AC37" si="3">SUM(V6:AB6)</f>
        <v>0</v>
      </c>
      <c r="AD6" s="24">
        <f t="shared" ref="AD6:AD37" si="4">U6-AC6</f>
        <v>0</v>
      </c>
      <c r="AE6" s="5">
        <f>IF(AND($C6&gt;=0,$C6&lt;=入力!$Q$36),AE$1,0)</f>
        <v>0</v>
      </c>
      <c r="AF6" s="3"/>
      <c r="AG6" s="3"/>
      <c r="AH6" s="3"/>
      <c r="AI6" s="3"/>
      <c r="AJ6" s="14"/>
      <c r="AK6" s="18">
        <f>SUM(AE6:AJ6)</f>
        <v>0</v>
      </c>
      <c r="AL6" s="24">
        <f t="shared" ref="AL6:AL69" si="5">AD6-AK6</f>
        <v>0</v>
      </c>
      <c r="AM6" s="24">
        <f t="shared" ref="AM6:AM37" si="6">AL6+AM5</f>
        <v>0</v>
      </c>
    </row>
    <row r="7" spans="2:43" x14ac:dyDescent="0.25">
      <c r="B7" s="5">
        <f>B6+1</f>
        <v>20</v>
      </c>
      <c r="C7" s="3">
        <f>C6+1</f>
        <v>-6</v>
      </c>
      <c r="D7" s="34"/>
      <c r="E7" s="3">
        <f>IF(親1!D7&lt;=833.3+42*親1!AS7,IF(AND(C7&gt;=0,C7&lt;=3),1.5*12,IF(AND(C7&gt;3,C7&lt;=15),1*12,0)),IF(AND(C7&gt;=0,C7&lt;=15),0.5*12,0))</f>
        <v>0</v>
      </c>
      <c r="F7" s="3"/>
      <c r="G7" s="3"/>
      <c r="H7" s="3"/>
      <c r="I7" s="14"/>
      <c r="J7" s="24">
        <f t="shared" si="0"/>
        <v>0</v>
      </c>
      <c r="K7" s="5"/>
      <c r="L7" s="3"/>
      <c r="M7" s="3">
        <f>IF(AND($C7&gt;=0,$C7&lt;=入力!$Q$38),M$1,0)</f>
        <v>0</v>
      </c>
      <c r="N7" s="3">
        <f>IF(AND($C7&gt;=0,$C7&lt;=入力!$Q$38),N$1,0)</f>
        <v>0</v>
      </c>
      <c r="O7" s="3">
        <f>IF(AND($C7&gt;=0,$C7&lt;=入力!$Q$38),O$1,0)</f>
        <v>0</v>
      </c>
      <c r="P7" s="3">
        <f>IF(AND($C7&gt;=0,$C7&lt;=入力!$Q$38),P$1,0)</f>
        <v>0</v>
      </c>
      <c r="Q7" s="3">
        <f>IF(AND($C7&gt;=0,$C7&lt;=入力!$Q$38),Q$1,0)</f>
        <v>0</v>
      </c>
      <c r="R7" s="3"/>
      <c r="S7" s="14"/>
      <c r="T7" s="18">
        <f t="shared" si="1"/>
        <v>0</v>
      </c>
      <c r="U7" s="24">
        <f t="shared" si="2"/>
        <v>0</v>
      </c>
      <c r="V7" s="5"/>
      <c r="W7" s="3">
        <f>IF(AND($C7&gt;=10,$C7&lt;=入力!$Q$38),W$1,0)</f>
        <v>0</v>
      </c>
      <c r="X7" s="3">
        <f>IFERROR(VLOOKUP($C7,学費計算!$C:$R,学費計算!H$1,0),0)</f>
        <v>0</v>
      </c>
      <c r="Y7" s="3">
        <f>IFERROR(VLOOKUP($C7,学費計算!$C:$R,学費計算!I$1,0),0)</f>
        <v>0</v>
      </c>
      <c r="Z7" s="3">
        <f>IFERROR(VLOOKUP($C7,学費計算!$C:$R,学費計算!J$1,0),0)</f>
        <v>0</v>
      </c>
      <c r="AA7" s="3">
        <f>IFERROR(VLOOKUP($C7,学費計算!$C:$R,学費計算!K$1,0),0)</f>
        <v>0</v>
      </c>
      <c r="AB7" s="14"/>
      <c r="AC7" s="18">
        <f t="shared" si="3"/>
        <v>0</v>
      </c>
      <c r="AD7" s="24">
        <f t="shared" si="4"/>
        <v>0</v>
      </c>
      <c r="AE7" s="5">
        <f>IF(AND($C7&gt;=0,$C7&lt;=入力!$Q$38),AE$1,0)</f>
        <v>0</v>
      </c>
      <c r="AF7" s="3"/>
      <c r="AG7" s="3"/>
      <c r="AH7" s="3"/>
      <c r="AI7" s="3"/>
      <c r="AJ7" s="14"/>
      <c r="AK7" s="18">
        <f t="shared" ref="AK7:AK70" si="7">SUM(AE7:AJ7)</f>
        <v>0</v>
      </c>
      <c r="AL7" s="24">
        <f t="shared" si="5"/>
        <v>0</v>
      </c>
      <c r="AM7" s="24">
        <f t="shared" si="6"/>
        <v>0</v>
      </c>
    </row>
    <row r="8" spans="2:43" x14ac:dyDescent="0.25">
      <c r="B8" s="5">
        <f t="shared" ref="B8:B39" si="8">B7+1</f>
        <v>21</v>
      </c>
      <c r="C8" s="3">
        <f t="shared" ref="C8:C70" si="9">C7+1</f>
        <v>-5</v>
      </c>
      <c r="D8" s="34"/>
      <c r="E8" s="3">
        <f>IF(親1!D8&lt;=833.3+42*親1!AS8,IF(AND(C8&gt;=0,C8&lt;=3),1.5*12,IF(AND(C8&gt;3,C8&lt;=15),1*12,0)),IF(AND(C8&gt;=0,C8&lt;=15),0.5*12,0))</f>
        <v>0</v>
      </c>
      <c r="F8" s="3"/>
      <c r="G8" s="3"/>
      <c r="H8" s="3"/>
      <c r="I8" s="14"/>
      <c r="J8" s="24">
        <f t="shared" si="0"/>
        <v>0</v>
      </c>
      <c r="K8" s="5"/>
      <c r="L8" s="3"/>
      <c r="M8" s="3">
        <f>IF(AND($C8&gt;=0,$C8&lt;=入力!$Q$38),M$1,0)</f>
        <v>0</v>
      </c>
      <c r="N8" s="3">
        <f>IF(AND($C8&gt;=0,$C8&lt;=入力!$Q$38),N$1,0)</f>
        <v>0</v>
      </c>
      <c r="O8" s="3">
        <f>IF(AND($C8&gt;=0,$C8&lt;=入力!$Q$38),O$1,0)</f>
        <v>0</v>
      </c>
      <c r="P8" s="3">
        <f>IF(AND($C8&gt;=0,$C8&lt;=入力!$Q$38),P$1,0)</f>
        <v>0</v>
      </c>
      <c r="Q8" s="3">
        <f>IF(AND($C8&gt;=0,$C8&lt;=入力!$Q$38),Q$1,0)</f>
        <v>0</v>
      </c>
      <c r="R8" s="3"/>
      <c r="S8" s="14"/>
      <c r="T8" s="18">
        <f t="shared" si="1"/>
        <v>0</v>
      </c>
      <c r="U8" s="24">
        <f t="shared" si="2"/>
        <v>0</v>
      </c>
      <c r="V8" s="5"/>
      <c r="W8" s="3">
        <f>IF(AND($C8&gt;=10,$C8&lt;=入力!$Q$38),W$1,0)</f>
        <v>0</v>
      </c>
      <c r="X8" s="3">
        <f>IFERROR(VLOOKUP($C8,学費計算!$C:$R,学費計算!H$1,0),0)</f>
        <v>0</v>
      </c>
      <c r="Y8" s="3">
        <f>IFERROR(VLOOKUP($C8,学費計算!$C:$R,学費計算!I$1,0),0)</f>
        <v>0</v>
      </c>
      <c r="Z8" s="3">
        <f>IFERROR(VLOOKUP($C8,学費計算!$C:$R,学費計算!J$1,0),0)</f>
        <v>0</v>
      </c>
      <c r="AA8" s="3">
        <f>IFERROR(VLOOKUP($C8,学費計算!$C:$R,学費計算!K$1,0),0)</f>
        <v>0</v>
      </c>
      <c r="AB8" s="14"/>
      <c r="AC8" s="18">
        <f t="shared" si="3"/>
        <v>0</v>
      </c>
      <c r="AD8" s="24">
        <f t="shared" si="4"/>
        <v>0</v>
      </c>
      <c r="AE8" s="5">
        <f>IF(AND($C8&gt;=0,$C8&lt;=入力!$Q$38),AE$1,0)</f>
        <v>0</v>
      </c>
      <c r="AF8" s="3"/>
      <c r="AG8" s="3"/>
      <c r="AH8" s="3"/>
      <c r="AI8" s="3"/>
      <c r="AJ8" s="14"/>
      <c r="AK8" s="18">
        <f t="shared" si="7"/>
        <v>0</v>
      </c>
      <c r="AL8" s="24">
        <f t="shared" si="5"/>
        <v>0</v>
      </c>
      <c r="AM8" s="24">
        <f t="shared" si="6"/>
        <v>0</v>
      </c>
    </row>
    <row r="9" spans="2:43" x14ac:dyDescent="0.25">
      <c r="B9" s="5">
        <f t="shared" si="8"/>
        <v>22</v>
      </c>
      <c r="C9" s="3">
        <f t="shared" si="9"/>
        <v>-4</v>
      </c>
      <c r="D9" s="34"/>
      <c r="E9" s="3">
        <f>IF(親1!D9&lt;=833.3+42*親1!AS9,IF(AND(C9&gt;=0,C9&lt;=3),1.5*12,IF(AND(C9&gt;3,C9&lt;=15),1*12,0)),IF(AND(C9&gt;=0,C9&lt;=15),0.5*12,0))</f>
        <v>0</v>
      </c>
      <c r="F9" s="3"/>
      <c r="G9" s="3"/>
      <c r="H9" s="3"/>
      <c r="I9" s="14"/>
      <c r="J9" s="24">
        <f t="shared" si="0"/>
        <v>0</v>
      </c>
      <c r="K9" s="5"/>
      <c r="L9" s="3"/>
      <c r="M9" s="3">
        <f>IF(AND($C9&gt;=0,$C9&lt;=入力!$Q$38),M$1,0)</f>
        <v>0</v>
      </c>
      <c r="N9" s="3">
        <f>IF(AND($C9&gt;=0,$C9&lt;=入力!$Q$38),N$1,0)</f>
        <v>0</v>
      </c>
      <c r="O9" s="3">
        <f>IF(AND($C9&gt;=0,$C9&lt;=入力!$Q$38),O$1,0)</f>
        <v>0</v>
      </c>
      <c r="P9" s="3">
        <f>IF(AND($C9&gt;=0,$C9&lt;=入力!$Q$38),P$1,0)</f>
        <v>0</v>
      </c>
      <c r="Q9" s="3">
        <f>IF(AND($C9&gt;=0,$C9&lt;=入力!$Q$38),Q$1,0)</f>
        <v>0</v>
      </c>
      <c r="R9" s="3"/>
      <c r="S9" s="14"/>
      <c r="T9" s="18">
        <f t="shared" si="1"/>
        <v>0</v>
      </c>
      <c r="U9" s="24">
        <f t="shared" si="2"/>
        <v>0</v>
      </c>
      <c r="V9" s="5"/>
      <c r="W9" s="3">
        <f>IF(AND($C9&gt;=10,$C9&lt;=入力!$Q$38),W$1,0)</f>
        <v>0</v>
      </c>
      <c r="X9" s="3">
        <f>IFERROR(VLOOKUP($C9,学費計算!$C:$R,学費計算!H$1,0),0)</f>
        <v>0</v>
      </c>
      <c r="Y9" s="3">
        <f>IFERROR(VLOOKUP($C9,学費計算!$C:$R,学費計算!I$1,0),0)</f>
        <v>0</v>
      </c>
      <c r="Z9" s="3">
        <f>IFERROR(VLOOKUP($C9,学費計算!$C:$R,学費計算!J$1,0),0)</f>
        <v>0</v>
      </c>
      <c r="AA9" s="3">
        <f>IFERROR(VLOOKUP($C9,学費計算!$C:$R,学費計算!K$1,0),0)</f>
        <v>0</v>
      </c>
      <c r="AB9" s="14"/>
      <c r="AC9" s="18">
        <f t="shared" si="3"/>
        <v>0</v>
      </c>
      <c r="AD9" s="24">
        <f t="shared" si="4"/>
        <v>0</v>
      </c>
      <c r="AE9" s="5">
        <f>IF(AND($C9&gt;=0,$C9&lt;=入力!$Q$38),AE$1,0)</f>
        <v>0</v>
      </c>
      <c r="AF9" s="3"/>
      <c r="AG9" s="3"/>
      <c r="AH9" s="3"/>
      <c r="AI9" s="3"/>
      <c r="AJ9" s="14"/>
      <c r="AK9" s="18">
        <f t="shared" si="7"/>
        <v>0</v>
      </c>
      <c r="AL9" s="24">
        <f t="shared" si="5"/>
        <v>0</v>
      </c>
      <c r="AM9" s="24">
        <f t="shared" si="6"/>
        <v>0</v>
      </c>
    </row>
    <row r="10" spans="2:43" x14ac:dyDescent="0.25">
      <c r="B10" s="5">
        <f t="shared" si="8"/>
        <v>23</v>
      </c>
      <c r="C10" s="3">
        <f t="shared" si="9"/>
        <v>-3</v>
      </c>
      <c r="D10" s="34"/>
      <c r="E10" s="3">
        <f>IF(親1!D10&lt;=833.3+42*親1!AS10,IF(AND(C10&gt;=0,C10&lt;=3),1.5*12,IF(AND(C10&gt;3,C10&lt;=15),1*12,0)),IF(AND(C10&gt;=0,C10&lt;=15),0.5*12,0))</f>
        <v>0</v>
      </c>
      <c r="F10" s="3"/>
      <c r="G10" s="3"/>
      <c r="H10" s="3"/>
      <c r="I10" s="14"/>
      <c r="J10" s="24">
        <f t="shared" si="0"/>
        <v>0</v>
      </c>
      <c r="K10" s="5"/>
      <c r="L10" s="3"/>
      <c r="M10" s="3">
        <f>IF(AND($C10&gt;=0,$C10&lt;=入力!$Q$38),M$1,0)</f>
        <v>0</v>
      </c>
      <c r="N10" s="3">
        <f>IF(AND($C10&gt;=0,$C10&lt;=入力!$Q$38),N$1,0)</f>
        <v>0</v>
      </c>
      <c r="O10" s="3">
        <f>IF(AND($C10&gt;=0,$C10&lt;=入力!$Q$38),O$1,0)</f>
        <v>0</v>
      </c>
      <c r="P10" s="3">
        <f>IF(AND($C10&gt;=0,$C10&lt;=入力!$Q$38),P$1,0)</f>
        <v>0</v>
      </c>
      <c r="Q10" s="3">
        <f>IF(AND($C10&gt;=0,$C10&lt;=入力!$Q$38),Q$1,0)</f>
        <v>0</v>
      </c>
      <c r="R10" s="3"/>
      <c r="S10" s="14"/>
      <c r="T10" s="18">
        <f t="shared" si="1"/>
        <v>0</v>
      </c>
      <c r="U10" s="24">
        <f t="shared" si="2"/>
        <v>0</v>
      </c>
      <c r="V10" s="5"/>
      <c r="W10" s="3">
        <f>IF(AND($C10&gt;=10,$C10&lt;=入力!$Q$38),W$1,0)</f>
        <v>0</v>
      </c>
      <c r="X10" s="3">
        <f>IFERROR(VLOOKUP($C10,学費計算!$C:$R,学費計算!H$1,0),0)</f>
        <v>0</v>
      </c>
      <c r="Y10" s="3">
        <f>IFERROR(VLOOKUP($C10,学費計算!$C:$R,学費計算!I$1,0),0)</f>
        <v>0</v>
      </c>
      <c r="Z10" s="3">
        <f>IFERROR(VLOOKUP($C10,学費計算!$C:$R,学費計算!J$1,0),0)</f>
        <v>0</v>
      </c>
      <c r="AA10" s="3">
        <f>IFERROR(VLOOKUP($C10,学費計算!$C:$R,学費計算!K$1,0),0)</f>
        <v>0</v>
      </c>
      <c r="AB10" s="14"/>
      <c r="AC10" s="18">
        <f t="shared" si="3"/>
        <v>0</v>
      </c>
      <c r="AD10" s="24">
        <f t="shared" si="4"/>
        <v>0</v>
      </c>
      <c r="AE10" s="5">
        <f>IF(AND($C10&gt;=0,$C10&lt;=入力!$Q$38),AE$1,0)</f>
        <v>0</v>
      </c>
      <c r="AF10" s="3"/>
      <c r="AG10" s="3"/>
      <c r="AH10" s="3"/>
      <c r="AI10" s="3"/>
      <c r="AJ10" s="14"/>
      <c r="AK10" s="18">
        <f t="shared" si="7"/>
        <v>0</v>
      </c>
      <c r="AL10" s="24">
        <f t="shared" si="5"/>
        <v>0</v>
      </c>
      <c r="AM10" s="24">
        <f t="shared" si="6"/>
        <v>0</v>
      </c>
    </row>
    <row r="11" spans="2:43" x14ac:dyDescent="0.25">
      <c r="B11" s="5">
        <f t="shared" si="8"/>
        <v>24</v>
      </c>
      <c r="C11" s="3">
        <f t="shared" si="9"/>
        <v>-2</v>
      </c>
      <c r="D11" s="34"/>
      <c r="E11" s="3">
        <f>IF(親1!D11&lt;=833.3+42*親1!AS11,IF(AND(C11&gt;=0,C11&lt;=3),1.5*12,IF(AND(C11&gt;3,C11&lt;=15),1*12,0)),IF(AND(C11&gt;=0,C11&lt;=15),0.5*12,0))</f>
        <v>0</v>
      </c>
      <c r="F11" s="3"/>
      <c r="G11" s="3"/>
      <c r="H11" s="3"/>
      <c r="I11" s="14"/>
      <c r="J11" s="24">
        <f t="shared" si="0"/>
        <v>0</v>
      </c>
      <c r="K11" s="5"/>
      <c r="L11" s="3"/>
      <c r="M11" s="3">
        <f>IF(AND($C11&gt;=0,$C11&lt;=入力!$Q$38),M$1,0)</f>
        <v>0</v>
      </c>
      <c r="N11" s="3">
        <f>IF(AND($C11&gt;=0,$C11&lt;=入力!$Q$38),N$1,0)</f>
        <v>0</v>
      </c>
      <c r="O11" s="3">
        <f>IF(AND($C11&gt;=0,$C11&lt;=入力!$Q$38),O$1,0)</f>
        <v>0</v>
      </c>
      <c r="P11" s="3">
        <f>IF(AND($C11&gt;=0,$C11&lt;=入力!$Q$38),P$1,0)</f>
        <v>0</v>
      </c>
      <c r="Q11" s="3">
        <f>IF(AND($C11&gt;=0,$C11&lt;=入力!$Q$38),Q$1,0)</f>
        <v>0</v>
      </c>
      <c r="R11" s="3"/>
      <c r="S11" s="14"/>
      <c r="T11" s="18">
        <f t="shared" si="1"/>
        <v>0</v>
      </c>
      <c r="U11" s="24">
        <f t="shared" si="2"/>
        <v>0</v>
      </c>
      <c r="V11" s="5"/>
      <c r="W11" s="3">
        <f>IF(AND($C11&gt;=10,$C11&lt;=入力!$Q$38),W$1,0)</f>
        <v>0</v>
      </c>
      <c r="X11" s="3">
        <f>IFERROR(VLOOKUP($C11,学費計算!$C:$R,学費計算!H$1,0),0)</f>
        <v>0</v>
      </c>
      <c r="Y11" s="3">
        <f>IFERROR(VLOOKUP($C11,学費計算!$C:$R,学費計算!I$1,0),0)</f>
        <v>0</v>
      </c>
      <c r="Z11" s="3">
        <f>IFERROR(VLOOKUP($C11,学費計算!$C:$R,学費計算!J$1,0),0)</f>
        <v>0</v>
      </c>
      <c r="AA11" s="3">
        <f>IFERROR(VLOOKUP($C11,学費計算!$C:$R,学費計算!K$1,0),0)</f>
        <v>0</v>
      </c>
      <c r="AB11" s="14"/>
      <c r="AC11" s="18">
        <f t="shared" si="3"/>
        <v>0</v>
      </c>
      <c r="AD11" s="24">
        <f t="shared" si="4"/>
        <v>0</v>
      </c>
      <c r="AE11" s="5">
        <f>IF(AND($C11&gt;=0,$C11&lt;=入力!$Q$38),AE$1,0)</f>
        <v>0</v>
      </c>
      <c r="AF11" s="3"/>
      <c r="AG11" s="3"/>
      <c r="AH11" s="3"/>
      <c r="AI11" s="3"/>
      <c r="AJ11" s="14"/>
      <c r="AK11" s="18">
        <f t="shared" si="7"/>
        <v>0</v>
      </c>
      <c r="AL11" s="24">
        <f t="shared" si="5"/>
        <v>0</v>
      </c>
      <c r="AM11" s="24">
        <f t="shared" si="6"/>
        <v>0</v>
      </c>
    </row>
    <row r="12" spans="2:43" x14ac:dyDescent="0.25">
      <c r="B12" s="5">
        <f t="shared" si="8"/>
        <v>25</v>
      </c>
      <c r="C12" s="3">
        <f t="shared" si="9"/>
        <v>-1</v>
      </c>
      <c r="D12" s="34"/>
      <c r="E12" s="3">
        <f>IF(親1!D12&lt;=833.3+42*親1!AS12,IF(AND(C12&gt;=0,C12&lt;=3),1.5*12,IF(AND(C12&gt;3,C12&lt;=15),1*12,0)),IF(AND(C12&gt;=0,C12&lt;=15),0.5*12,0))</f>
        <v>0</v>
      </c>
      <c r="F12" s="3"/>
      <c r="G12" s="3"/>
      <c r="H12" s="3"/>
      <c r="I12" s="14"/>
      <c r="J12" s="24">
        <f t="shared" si="0"/>
        <v>0</v>
      </c>
      <c r="K12" s="5"/>
      <c r="L12" s="3"/>
      <c r="M12" s="3">
        <f>IF(AND($C12&gt;=0,$C12&lt;=入力!$Q$38),M$1,0)</f>
        <v>0</v>
      </c>
      <c r="N12" s="3">
        <f>IF(AND($C12&gt;=0,$C12&lt;=入力!$Q$38),N$1,0)</f>
        <v>0</v>
      </c>
      <c r="O12" s="3">
        <f>IF(AND($C12&gt;=0,$C12&lt;=入力!$Q$38),O$1,0)</f>
        <v>0</v>
      </c>
      <c r="P12" s="3">
        <f>IF(AND($C12&gt;=0,$C12&lt;=入力!$Q$38),P$1,0)</f>
        <v>0</v>
      </c>
      <c r="Q12" s="3">
        <f>IF(AND($C12&gt;=0,$C12&lt;=入力!$Q$38),Q$1,0)</f>
        <v>0</v>
      </c>
      <c r="R12" s="3"/>
      <c r="S12" s="14"/>
      <c r="T12" s="18">
        <f t="shared" si="1"/>
        <v>0</v>
      </c>
      <c r="U12" s="24">
        <f t="shared" si="2"/>
        <v>0</v>
      </c>
      <c r="V12" s="5"/>
      <c r="W12" s="3">
        <f>IF(AND($C12&gt;=10,$C12&lt;=入力!$Q$38),W$1,0)</f>
        <v>0</v>
      </c>
      <c r="X12" s="3">
        <f>IFERROR(VLOOKUP($C12,学費計算!$C:$R,学費計算!H$1,0),0)</f>
        <v>0</v>
      </c>
      <c r="Y12" s="3">
        <f>IFERROR(VLOOKUP($C12,学費計算!$C:$R,学費計算!I$1,0),0)</f>
        <v>0</v>
      </c>
      <c r="Z12" s="3">
        <f>IFERROR(VLOOKUP($C12,学費計算!$C:$R,学費計算!J$1,0),0)</f>
        <v>0</v>
      </c>
      <c r="AA12" s="3">
        <f>IFERROR(VLOOKUP($C12,学費計算!$C:$R,学費計算!K$1,0),0)</f>
        <v>0</v>
      </c>
      <c r="AB12" s="14"/>
      <c r="AC12" s="18">
        <f t="shared" si="3"/>
        <v>0</v>
      </c>
      <c r="AD12" s="24">
        <f t="shared" si="4"/>
        <v>0</v>
      </c>
      <c r="AE12" s="5">
        <f>IF(AND($C12&gt;=0,$C12&lt;=入力!$Q$38),AE$1,0)</f>
        <v>0</v>
      </c>
      <c r="AF12" s="3"/>
      <c r="AG12" s="3"/>
      <c r="AH12" s="3"/>
      <c r="AI12" s="3"/>
      <c r="AJ12" s="14"/>
      <c r="AK12" s="18">
        <f t="shared" si="7"/>
        <v>0</v>
      </c>
      <c r="AL12" s="24">
        <f t="shared" si="5"/>
        <v>0</v>
      </c>
      <c r="AM12" s="24">
        <f t="shared" si="6"/>
        <v>0</v>
      </c>
    </row>
    <row r="13" spans="2:43" x14ac:dyDescent="0.25">
      <c r="B13" s="5">
        <f t="shared" si="8"/>
        <v>26</v>
      </c>
      <c r="C13" s="3">
        <f t="shared" si="9"/>
        <v>0</v>
      </c>
      <c r="D13" s="34"/>
      <c r="E13" s="3">
        <f>IF(親1!D13&lt;=833.3+42*親1!AS13,IF(AND(C13&gt;=0,C13&lt;=3),1.5*12,IF(AND(C13&gt;3,C13&lt;=15),1*12,0)),IF(AND(C13&gt;=0,C13&lt;=15),0.5*12,0))</f>
        <v>18</v>
      </c>
      <c r="F13" s="3"/>
      <c r="G13" s="3"/>
      <c r="H13" s="3"/>
      <c r="I13" s="14"/>
      <c r="J13" s="24">
        <f t="shared" si="0"/>
        <v>18</v>
      </c>
      <c r="K13" s="5"/>
      <c r="L13" s="3"/>
      <c r="M13" s="3">
        <f>IF(AND($C13&gt;=0,$C13&lt;=入力!$Q$38),M$1,0)</f>
        <v>17.820000000000004</v>
      </c>
      <c r="N13" s="3">
        <f>IF(AND($C13&gt;=0,$C13&lt;=入力!$Q$38),N$1,0)</f>
        <v>6.6000000000000005</v>
      </c>
      <c r="O13" s="3">
        <f>IF(AND($C13&gt;=0,$C13&lt;=入力!$Q$38),O$1,0)</f>
        <v>1.6500000000000001</v>
      </c>
      <c r="P13" s="3">
        <f>IF(AND($C13&gt;=0,$C13&lt;=入力!$Q$38),P$1,0)</f>
        <v>1.3200000000000003</v>
      </c>
      <c r="Q13" s="3">
        <f>IF(AND($C13&gt;=0,$C13&lt;=入力!$Q$38),Q$1,0)</f>
        <v>0.82500000000000007</v>
      </c>
      <c r="R13" s="3"/>
      <c r="S13" s="14"/>
      <c r="T13" s="18">
        <f t="shared" si="1"/>
        <v>28.215000000000003</v>
      </c>
      <c r="U13" s="24">
        <f t="shared" si="2"/>
        <v>-10.215000000000003</v>
      </c>
      <c r="V13" s="5"/>
      <c r="W13" s="3">
        <f>IF(AND($C13&gt;=10,$C13&lt;=入力!$Q$38),W$1,0)</f>
        <v>0</v>
      </c>
      <c r="X13" s="3">
        <f>IFERROR(VLOOKUP($C13,学費計算!$C:$R,学費計算!H$1,0),0)</f>
        <v>0</v>
      </c>
      <c r="Y13" s="3">
        <f>IFERROR(VLOOKUP($C13,学費計算!$C:$R,学費計算!I$1,0),0)</f>
        <v>0</v>
      </c>
      <c r="Z13" s="3">
        <f>IFERROR(VLOOKUP($C13,学費計算!$C:$R,学費計算!J$1,0),0)</f>
        <v>18</v>
      </c>
      <c r="AA13" s="3">
        <f>IFERROR(VLOOKUP($C13,学費計算!$C:$R,学費計算!K$1,0),0)</f>
        <v>0</v>
      </c>
      <c r="AB13" s="14"/>
      <c r="AC13" s="18">
        <f t="shared" si="3"/>
        <v>18</v>
      </c>
      <c r="AD13" s="24">
        <f t="shared" si="4"/>
        <v>-28.215000000000003</v>
      </c>
      <c r="AE13" s="5">
        <f>IF(AND($C13&gt;=0,$C13&lt;=入力!$Q$38),AE$1,0)</f>
        <v>6</v>
      </c>
      <c r="AF13" s="3"/>
      <c r="AG13" s="3"/>
      <c r="AH13" s="3"/>
      <c r="AI13" s="3"/>
      <c r="AJ13" s="14"/>
      <c r="AK13" s="18">
        <f t="shared" si="7"/>
        <v>6</v>
      </c>
      <c r="AL13" s="24">
        <f t="shared" si="5"/>
        <v>-34.215000000000003</v>
      </c>
      <c r="AM13" s="24">
        <f t="shared" si="6"/>
        <v>-34.215000000000003</v>
      </c>
    </row>
    <row r="14" spans="2:43" x14ac:dyDescent="0.25">
      <c r="B14" s="5">
        <f t="shared" si="8"/>
        <v>27</v>
      </c>
      <c r="C14" s="3">
        <f t="shared" si="9"/>
        <v>1</v>
      </c>
      <c r="D14" s="34"/>
      <c r="E14" s="3">
        <f>IF(親1!D14&lt;=833.3+42*親1!AS14,IF(AND(C14&gt;=0,C14&lt;=3),1.5*12,IF(AND(C14&gt;3,C14&lt;=15),1*12,0)),IF(AND(C14&gt;=0,C14&lt;=15),0.5*12,0))</f>
        <v>18</v>
      </c>
      <c r="F14" s="3"/>
      <c r="G14" s="3"/>
      <c r="H14" s="3"/>
      <c r="I14" s="14"/>
      <c r="J14" s="24">
        <f t="shared" si="0"/>
        <v>18</v>
      </c>
      <c r="K14" s="5"/>
      <c r="L14" s="3"/>
      <c r="M14" s="3">
        <f>IF(AND($C14&gt;=0,$C14&lt;=入力!$Q$38),M$1,0)</f>
        <v>17.820000000000004</v>
      </c>
      <c r="N14" s="3">
        <f>IF(AND($C14&gt;=0,$C14&lt;=入力!$Q$38),N$1,0)</f>
        <v>6.6000000000000005</v>
      </c>
      <c r="O14" s="3">
        <f>IF(AND($C14&gt;=0,$C14&lt;=入力!$Q$38),O$1,0)</f>
        <v>1.6500000000000001</v>
      </c>
      <c r="P14" s="3">
        <f>IF(AND($C14&gt;=0,$C14&lt;=入力!$Q$38),P$1,0)</f>
        <v>1.3200000000000003</v>
      </c>
      <c r="Q14" s="3">
        <f>IF(AND($C14&gt;=0,$C14&lt;=入力!$Q$38),Q$1,0)</f>
        <v>0.82500000000000007</v>
      </c>
      <c r="R14" s="3"/>
      <c r="S14" s="14"/>
      <c r="T14" s="18">
        <f t="shared" si="1"/>
        <v>28.215000000000003</v>
      </c>
      <c r="U14" s="24">
        <f t="shared" si="2"/>
        <v>-10.215000000000003</v>
      </c>
      <c r="V14" s="5"/>
      <c r="W14" s="3">
        <f>IF(AND($C14&gt;=10,$C14&lt;=入力!$Q$38),W$1,0)</f>
        <v>0</v>
      </c>
      <c r="X14" s="3">
        <f>IFERROR(VLOOKUP($C14,学費計算!$C:$R,学費計算!H$1,0),0)</f>
        <v>0</v>
      </c>
      <c r="Y14" s="3">
        <f>IFERROR(VLOOKUP($C14,学費計算!$C:$R,学費計算!I$1,0),0)</f>
        <v>0</v>
      </c>
      <c r="Z14" s="3">
        <f>IFERROR(VLOOKUP($C14,学費計算!$C:$R,学費計算!J$1,0),0)</f>
        <v>21</v>
      </c>
      <c r="AA14" s="3">
        <f>IFERROR(VLOOKUP($C14,学費計算!$C:$R,学費計算!K$1,0),0)</f>
        <v>0</v>
      </c>
      <c r="AB14" s="14"/>
      <c r="AC14" s="18">
        <f t="shared" si="3"/>
        <v>21</v>
      </c>
      <c r="AD14" s="24">
        <f t="shared" si="4"/>
        <v>-31.215000000000003</v>
      </c>
      <c r="AE14" s="5">
        <f>IF(AND($C14&gt;=0,$C14&lt;=入力!$Q$38),AE$1,0)</f>
        <v>6</v>
      </c>
      <c r="AF14" s="3"/>
      <c r="AG14" s="3"/>
      <c r="AH14" s="3"/>
      <c r="AI14" s="3"/>
      <c r="AJ14" s="14"/>
      <c r="AK14" s="18">
        <f t="shared" si="7"/>
        <v>6</v>
      </c>
      <c r="AL14" s="24">
        <f t="shared" si="5"/>
        <v>-37.215000000000003</v>
      </c>
      <c r="AM14" s="24">
        <f t="shared" si="6"/>
        <v>-71.430000000000007</v>
      </c>
    </row>
    <row r="15" spans="2:43" x14ac:dyDescent="0.25">
      <c r="B15" s="5">
        <f t="shared" si="8"/>
        <v>28</v>
      </c>
      <c r="C15" s="3">
        <f t="shared" si="9"/>
        <v>2</v>
      </c>
      <c r="D15" s="34"/>
      <c r="E15" s="3">
        <f>IF(親1!D15&lt;=833.3+42*親1!AS15,IF(AND(C15&gt;=0,C15&lt;=3),1.5*12,IF(AND(C15&gt;3,C15&lt;=15),1*12,0)),IF(AND(C15&gt;=0,C15&lt;=15),0.5*12,0))</f>
        <v>18</v>
      </c>
      <c r="F15" s="3"/>
      <c r="G15" s="3"/>
      <c r="H15" s="3"/>
      <c r="I15" s="14"/>
      <c r="J15" s="24">
        <f t="shared" si="0"/>
        <v>18</v>
      </c>
      <c r="K15" s="5"/>
      <c r="L15" s="3"/>
      <c r="M15" s="3">
        <f>IF(AND($C15&gt;=0,$C15&lt;=入力!$Q$38),M$1,0)</f>
        <v>17.820000000000004</v>
      </c>
      <c r="N15" s="3">
        <f>IF(AND($C15&gt;=0,$C15&lt;=入力!$Q$38),N$1,0)</f>
        <v>6.6000000000000005</v>
      </c>
      <c r="O15" s="3">
        <f>IF(AND($C15&gt;=0,$C15&lt;=入力!$Q$38),O$1,0)</f>
        <v>1.6500000000000001</v>
      </c>
      <c r="P15" s="3">
        <f>IF(AND($C15&gt;=0,$C15&lt;=入力!$Q$38),P$1,0)</f>
        <v>1.3200000000000003</v>
      </c>
      <c r="Q15" s="3">
        <f>IF(AND($C15&gt;=0,$C15&lt;=入力!$Q$38),Q$1,0)</f>
        <v>0.82500000000000007</v>
      </c>
      <c r="R15" s="3"/>
      <c r="S15" s="14"/>
      <c r="T15" s="18">
        <f t="shared" si="1"/>
        <v>28.215000000000003</v>
      </c>
      <c r="U15" s="24">
        <f t="shared" si="2"/>
        <v>-10.215000000000003</v>
      </c>
      <c r="V15" s="5"/>
      <c r="W15" s="3">
        <f>IF(AND($C15&gt;=10,$C15&lt;=入力!$Q$38),W$1,0)</f>
        <v>0</v>
      </c>
      <c r="X15" s="3">
        <f>IFERROR(VLOOKUP($C15,学費計算!$C:$R,学費計算!H$1,0),0)</f>
        <v>0</v>
      </c>
      <c r="Y15" s="3">
        <f>IFERROR(VLOOKUP($C15,学費計算!$C:$R,学費計算!I$1,0),0)</f>
        <v>0</v>
      </c>
      <c r="Z15" s="3">
        <f>IFERROR(VLOOKUP($C15,学費計算!$C:$R,学費計算!J$1,0),0)</f>
        <v>21</v>
      </c>
      <c r="AA15" s="3">
        <f>IFERROR(VLOOKUP($C15,学費計算!$C:$R,学費計算!K$1,0),0)</f>
        <v>0</v>
      </c>
      <c r="AB15" s="14"/>
      <c r="AC15" s="18">
        <f t="shared" si="3"/>
        <v>21</v>
      </c>
      <c r="AD15" s="24">
        <f t="shared" si="4"/>
        <v>-31.215000000000003</v>
      </c>
      <c r="AE15" s="5">
        <f>IF(AND($C15&gt;=0,$C15&lt;=入力!$Q$38),AE$1,0)</f>
        <v>6</v>
      </c>
      <c r="AF15" s="3"/>
      <c r="AG15" s="3"/>
      <c r="AH15" s="3"/>
      <c r="AI15" s="3"/>
      <c r="AJ15" s="14"/>
      <c r="AK15" s="18">
        <f t="shared" si="7"/>
        <v>6</v>
      </c>
      <c r="AL15" s="24">
        <f t="shared" si="5"/>
        <v>-37.215000000000003</v>
      </c>
      <c r="AM15" s="24">
        <f t="shared" si="6"/>
        <v>-108.64500000000001</v>
      </c>
    </row>
    <row r="16" spans="2:43" x14ac:dyDescent="0.25">
      <c r="B16" s="5">
        <f t="shared" si="8"/>
        <v>29</v>
      </c>
      <c r="C16" s="3">
        <f t="shared" si="9"/>
        <v>3</v>
      </c>
      <c r="D16" s="34"/>
      <c r="E16" s="3">
        <f>IF(親1!D16&lt;=833.3+42*親1!AS16,IF(AND(C16&gt;=0,C16&lt;=3),1.5*12,IF(AND(C16&gt;3,C16&lt;=15),1*12,0)),IF(AND(C16&gt;=0,C16&lt;=15),0.5*12,0))</f>
        <v>18</v>
      </c>
      <c r="F16" s="3"/>
      <c r="G16" s="3"/>
      <c r="H16" s="3"/>
      <c r="I16" s="14"/>
      <c r="J16" s="24">
        <f t="shared" si="0"/>
        <v>18</v>
      </c>
      <c r="K16" s="5"/>
      <c r="L16" s="3"/>
      <c r="M16" s="3">
        <f>IF(AND($C16&gt;=0,$C16&lt;=入力!$Q$38),M$1,0)</f>
        <v>17.820000000000004</v>
      </c>
      <c r="N16" s="3">
        <f>IF(AND($C16&gt;=0,$C16&lt;=入力!$Q$38),N$1,0)</f>
        <v>6.6000000000000005</v>
      </c>
      <c r="O16" s="3">
        <f>IF(AND($C16&gt;=0,$C16&lt;=入力!$Q$38),O$1,0)</f>
        <v>1.6500000000000001</v>
      </c>
      <c r="P16" s="3">
        <f>IF(AND($C16&gt;=0,$C16&lt;=入力!$Q$38),P$1,0)</f>
        <v>1.3200000000000003</v>
      </c>
      <c r="Q16" s="3">
        <f>IF(AND($C16&gt;=0,$C16&lt;=入力!$Q$38),Q$1,0)</f>
        <v>0.82500000000000007</v>
      </c>
      <c r="R16" s="3"/>
      <c r="S16" s="14"/>
      <c r="T16" s="18">
        <f t="shared" si="1"/>
        <v>28.215000000000003</v>
      </c>
      <c r="U16" s="24">
        <f t="shared" si="2"/>
        <v>-10.215000000000003</v>
      </c>
      <c r="V16" s="5"/>
      <c r="W16" s="3">
        <f>IF(AND($C16&gt;=10,$C16&lt;=入力!$Q$38),W$1,0)</f>
        <v>0</v>
      </c>
      <c r="X16" s="3">
        <f>IFERROR(VLOOKUP($C16,学費計算!$C:$R,学費計算!H$1,0),0)</f>
        <v>0</v>
      </c>
      <c r="Y16" s="3">
        <f>IFERROR(VLOOKUP($C16,学費計算!$C:$R,学費計算!I$1,0),0)</f>
        <v>12</v>
      </c>
      <c r="Z16" s="3">
        <f>IFERROR(VLOOKUP($C16,学費計算!$C:$R,学費計算!J$1,0),0)</f>
        <v>4.4733000000000001</v>
      </c>
      <c r="AA16" s="3">
        <f>IFERROR(VLOOKUP($C16,学費計算!$C:$R,学費計算!K$1,0),0)</f>
        <v>0</v>
      </c>
      <c r="AB16" s="14"/>
      <c r="AC16" s="18">
        <f t="shared" si="3"/>
        <v>16.473300000000002</v>
      </c>
      <c r="AD16" s="24">
        <f t="shared" si="4"/>
        <v>-26.688300000000005</v>
      </c>
      <c r="AE16" s="5">
        <f>IF(AND($C16&gt;=0,$C16&lt;=入力!$Q$38),AE$1,0)</f>
        <v>6</v>
      </c>
      <c r="AF16" s="3"/>
      <c r="AG16" s="3"/>
      <c r="AH16" s="3"/>
      <c r="AI16" s="3"/>
      <c r="AJ16" s="14"/>
      <c r="AK16" s="18">
        <f t="shared" si="7"/>
        <v>6</v>
      </c>
      <c r="AL16" s="24">
        <f t="shared" si="5"/>
        <v>-32.688300000000005</v>
      </c>
      <c r="AM16" s="24">
        <f t="shared" si="6"/>
        <v>-141.33330000000001</v>
      </c>
    </row>
    <row r="17" spans="2:39" x14ac:dyDescent="0.25">
      <c r="B17" s="5">
        <f t="shared" si="8"/>
        <v>30</v>
      </c>
      <c r="C17" s="3">
        <f t="shared" si="9"/>
        <v>4</v>
      </c>
      <c r="D17" s="34"/>
      <c r="E17" s="3">
        <f>IF(親1!D17&lt;=833.3+42*親1!AS17,IF(AND(C17&gt;=0,C17&lt;=3),1.5*12,IF(AND(C17&gt;3,C17&lt;=15),1*12,0)),IF(AND(C17&gt;=0,C17&lt;=15),0.5*12,0))</f>
        <v>12</v>
      </c>
      <c r="F17" s="3"/>
      <c r="G17" s="3"/>
      <c r="H17" s="3"/>
      <c r="I17" s="14"/>
      <c r="J17" s="24">
        <f t="shared" si="0"/>
        <v>12</v>
      </c>
      <c r="K17" s="5"/>
      <c r="L17" s="3"/>
      <c r="M17" s="3">
        <f>IF(AND($C17&gt;=0,$C17&lt;=入力!$Q$38),M$1,0)</f>
        <v>17.820000000000004</v>
      </c>
      <c r="N17" s="3">
        <f>IF(AND($C17&gt;=0,$C17&lt;=入力!$Q$38),N$1,0)</f>
        <v>6.6000000000000005</v>
      </c>
      <c r="O17" s="3">
        <f>IF(AND($C17&gt;=0,$C17&lt;=入力!$Q$38),O$1,0)</f>
        <v>1.6500000000000001</v>
      </c>
      <c r="P17" s="3">
        <f>IF(AND($C17&gt;=0,$C17&lt;=入力!$Q$38),P$1,0)</f>
        <v>1.3200000000000003</v>
      </c>
      <c r="Q17" s="3">
        <f>IF(AND($C17&gt;=0,$C17&lt;=入力!$Q$38),Q$1,0)</f>
        <v>0.82500000000000007</v>
      </c>
      <c r="R17" s="3"/>
      <c r="S17" s="14"/>
      <c r="T17" s="18">
        <f t="shared" si="1"/>
        <v>28.215000000000003</v>
      </c>
      <c r="U17" s="24">
        <f t="shared" si="2"/>
        <v>-16.215000000000003</v>
      </c>
      <c r="V17" s="5"/>
      <c r="W17" s="3">
        <f>IF(AND($C17&gt;=10,$C17&lt;=入力!$Q$38),W$1,0)</f>
        <v>0</v>
      </c>
      <c r="X17" s="3">
        <f>IFERROR(VLOOKUP($C17,学費計算!$C:$R,学費計算!H$1,0),0)</f>
        <v>0</v>
      </c>
      <c r="Y17" s="3">
        <f>IFERROR(VLOOKUP($C17,学費計算!$C:$R,学費計算!I$1,0),0)</f>
        <v>12</v>
      </c>
      <c r="Z17" s="3">
        <f>IFERROR(VLOOKUP($C17,学費計算!$C:$R,学費計算!J$1,0),0)</f>
        <v>4.2769000000000004</v>
      </c>
      <c r="AA17" s="3">
        <f>IFERROR(VLOOKUP($C17,学費計算!$C:$R,学費計算!K$1,0),0)</f>
        <v>0</v>
      </c>
      <c r="AB17" s="14"/>
      <c r="AC17" s="18">
        <f t="shared" si="3"/>
        <v>16.276900000000001</v>
      </c>
      <c r="AD17" s="24">
        <f t="shared" si="4"/>
        <v>-32.491900000000001</v>
      </c>
      <c r="AE17" s="5">
        <f>IF(AND($C17&gt;=0,$C17&lt;=入力!$Q$38),AE$1,0)</f>
        <v>6</v>
      </c>
      <c r="AF17" s="3"/>
      <c r="AG17" s="3"/>
      <c r="AH17" s="3"/>
      <c r="AI17" s="3"/>
      <c r="AJ17" s="14"/>
      <c r="AK17" s="18">
        <f t="shared" si="7"/>
        <v>6</v>
      </c>
      <c r="AL17" s="24">
        <f t="shared" si="5"/>
        <v>-38.491900000000001</v>
      </c>
      <c r="AM17" s="24">
        <f t="shared" si="6"/>
        <v>-179.8252</v>
      </c>
    </row>
    <row r="18" spans="2:39" x14ac:dyDescent="0.25">
      <c r="B18" s="5">
        <f t="shared" si="8"/>
        <v>31</v>
      </c>
      <c r="C18" s="3">
        <f t="shared" si="9"/>
        <v>5</v>
      </c>
      <c r="D18" s="34"/>
      <c r="E18" s="3">
        <f>IF(親1!D18&lt;=833.3+42*親1!AS18,IF(AND(C18&gt;=0,C18&lt;=3),1.5*12,IF(AND(C18&gt;3,C18&lt;=15),1*12,0)),IF(AND(C18&gt;=0,C18&lt;=15),0.5*12,0))</f>
        <v>12</v>
      </c>
      <c r="F18" s="3"/>
      <c r="G18" s="3"/>
      <c r="H18" s="3"/>
      <c r="I18" s="14"/>
      <c r="J18" s="24">
        <f t="shared" si="0"/>
        <v>12</v>
      </c>
      <c r="K18" s="5"/>
      <c r="L18" s="3"/>
      <c r="M18" s="3">
        <f>IF(AND($C18&gt;=0,$C18&lt;=入力!$Q$38),M$1,0)</f>
        <v>17.820000000000004</v>
      </c>
      <c r="N18" s="3">
        <f>IF(AND($C18&gt;=0,$C18&lt;=入力!$Q$38),N$1,0)</f>
        <v>6.6000000000000005</v>
      </c>
      <c r="O18" s="3">
        <f>IF(AND($C18&gt;=0,$C18&lt;=入力!$Q$38),O$1,0)</f>
        <v>1.6500000000000001</v>
      </c>
      <c r="P18" s="3">
        <f>IF(AND($C18&gt;=0,$C18&lt;=入力!$Q$38),P$1,0)</f>
        <v>1.3200000000000003</v>
      </c>
      <c r="Q18" s="3">
        <f>IF(AND($C18&gt;=0,$C18&lt;=入力!$Q$38),Q$1,0)</f>
        <v>0.82500000000000007</v>
      </c>
      <c r="R18" s="3"/>
      <c r="S18" s="14"/>
      <c r="T18" s="18">
        <f t="shared" si="1"/>
        <v>28.215000000000003</v>
      </c>
      <c r="U18" s="24">
        <f t="shared" si="2"/>
        <v>-16.215000000000003</v>
      </c>
      <c r="V18" s="5"/>
      <c r="W18" s="3">
        <f>IF(AND($C18&gt;=10,$C18&lt;=入力!$Q$38),W$1,0)</f>
        <v>0</v>
      </c>
      <c r="X18" s="3">
        <f>IFERROR(VLOOKUP($C18,学費計算!$C:$R,学費計算!H$1,0),0)</f>
        <v>0</v>
      </c>
      <c r="Y18" s="3">
        <f>IFERROR(VLOOKUP($C18,学費計算!$C:$R,学費計算!I$1,0),0)</f>
        <v>12</v>
      </c>
      <c r="Z18" s="3">
        <f>IFERROR(VLOOKUP($C18,学費計算!$C:$R,学費計算!J$1,0),0)</f>
        <v>4.2496</v>
      </c>
      <c r="AA18" s="3">
        <f>IFERROR(VLOOKUP($C18,学費計算!$C:$R,学費計算!K$1,0),0)</f>
        <v>0</v>
      </c>
      <c r="AB18" s="14"/>
      <c r="AC18" s="18">
        <f t="shared" si="3"/>
        <v>16.249600000000001</v>
      </c>
      <c r="AD18" s="24">
        <f t="shared" si="4"/>
        <v>-32.464600000000004</v>
      </c>
      <c r="AE18" s="5">
        <f>IF(AND($C18&gt;=0,$C18&lt;=入力!$Q$38),AE$1,0)</f>
        <v>6</v>
      </c>
      <c r="AF18" s="3"/>
      <c r="AG18" s="3"/>
      <c r="AH18" s="3"/>
      <c r="AI18" s="3"/>
      <c r="AJ18" s="14"/>
      <c r="AK18" s="18">
        <f t="shared" si="7"/>
        <v>6</v>
      </c>
      <c r="AL18" s="24">
        <f t="shared" si="5"/>
        <v>-38.464600000000004</v>
      </c>
      <c r="AM18" s="24">
        <f t="shared" si="6"/>
        <v>-218.28980000000001</v>
      </c>
    </row>
    <row r="19" spans="2:39" x14ac:dyDescent="0.25">
      <c r="B19" s="5">
        <f t="shared" si="8"/>
        <v>32</v>
      </c>
      <c r="C19" s="3">
        <f t="shared" si="9"/>
        <v>6</v>
      </c>
      <c r="D19" s="34"/>
      <c r="E19" s="3">
        <f>IF(親1!D19&lt;=833.3+42*親1!AS19,IF(AND(C19&gt;=0,C19&lt;=3),1.5*12,IF(AND(C19&gt;3,C19&lt;=15),1*12,0)),IF(AND(C19&gt;=0,C19&lt;=15),0.5*12,0))</f>
        <v>12</v>
      </c>
      <c r="F19" s="3"/>
      <c r="G19" s="3"/>
      <c r="H19" s="3"/>
      <c r="I19" s="14"/>
      <c r="J19" s="24">
        <f t="shared" si="0"/>
        <v>12</v>
      </c>
      <c r="K19" s="5"/>
      <c r="L19" s="3"/>
      <c r="M19" s="3">
        <f>IF(AND($C19&gt;=0,$C19&lt;=入力!$Q$38),M$1,0)</f>
        <v>17.820000000000004</v>
      </c>
      <c r="N19" s="3">
        <f>IF(AND($C19&gt;=0,$C19&lt;=入力!$Q$38),N$1,0)</f>
        <v>6.6000000000000005</v>
      </c>
      <c r="O19" s="3">
        <f>IF(AND($C19&gt;=0,$C19&lt;=入力!$Q$38),O$1,0)</f>
        <v>1.6500000000000001</v>
      </c>
      <c r="P19" s="3">
        <f>IF(AND($C19&gt;=0,$C19&lt;=入力!$Q$38),P$1,0)</f>
        <v>1.3200000000000003</v>
      </c>
      <c r="Q19" s="3">
        <f>IF(AND($C19&gt;=0,$C19&lt;=入力!$Q$38),Q$1,0)</f>
        <v>0.82500000000000007</v>
      </c>
      <c r="R19" s="3"/>
      <c r="S19" s="14"/>
      <c r="T19" s="18">
        <f t="shared" si="1"/>
        <v>28.215000000000003</v>
      </c>
      <c r="U19" s="24">
        <f t="shared" si="2"/>
        <v>-16.215000000000003</v>
      </c>
      <c r="V19" s="5"/>
      <c r="W19" s="3">
        <f>IF(AND($C19&gt;=10,$C19&lt;=入力!$Q$38),W$1,0)</f>
        <v>0</v>
      </c>
      <c r="X19" s="3">
        <f>IFERROR(VLOOKUP($C19,学費計算!$C:$R,学費計算!H$1,0),0)</f>
        <v>12</v>
      </c>
      <c r="Y19" s="3">
        <f>IFERROR(VLOOKUP($C19,学費計算!$C:$R,学費計算!I$1,0),0)</f>
        <v>0</v>
      </c>
      <c r="Z19" s="3">
        <f>IFERROR(VLOOKUP($C19,学費計算!$C:$R,学費計算!J$1,0),0)</f>
        <v>10.975300000000001</v>
      </c>
      <c r="AA19" s="3">
        <f>IFERROR(VLOOKUP($C19,学費計算!$C:$R,学費計算!K$1,0),0)</f>
        <v>0</v>
      </c>
      <c r="AB19" s="14"/>
      <c r="AC19" s="18">
        <f t="shared" si="3"/>
        <v>22.975300000000001</v>
      </c>
      <c r="AD19" s="24">
        <f t="shared" si="4"/>
        <v>-39.190300000000008</v>
      </c>
      <c r="AE19" s="5">
        <f>IF(AND($C19&gt;=0,$C19&lt;=入力!$Q$38),AE$1,0)</f>
        <v>6</v>
      </c>
      <c r="AF19" s="3"/>
      <c r="AG19" s="3"/>
      <c r="AH19" s="3"/>
      <c r="AI19" s="3"/>
      <c r="AJ19" s="14"/>
      <c r="AK19" s="18">
        <f t="shared" si="7"/>
        <v>6</v>
      </c>
      <c r="AL19" s="24">
        <f t="shared" si="5"/>
        <v>-45.190300000000008</v>
      </c>
      <c r="AM19" s="24">
        <f t="shared" si="6"/>
        <v>-263.48009999999999</v>
      </c>
    </row>
    <row r="20" spans="2:39" x14ac:dyDescent="0.25">
      <c r="B20" s="5">
        <f t="shared" si="8"/>
        <v>33</v>
      </c>
      <c r="C20" s="3">
        <f t="shared" si="9"/>
        <v>7</v>
      </c>
      <c r="D20" s="34"/>
      <c r="E20" s="3">
        <f>IF(親1!D20&lt;=833.3+42*親1!AS20,IF(AND(C20&gt;=0,C20&lt;=3),1.5*12,IF(AND(C20&gt;3,C20&lt;=15),1*12,0)),IF(AND(C20&gt;=0,C20&lt;=15),0.5*12,0))</f>
        <v>12</v>
      </c>
      <c r="F20" s="3"/>
      <c r="G20" s="3"/>
      <c r="H20" s="3"/>
      <c r="I20" s="14"/>
      <c r="J20" s="24">
        <f t="shared" si="0"/>
        <v>12</v>
      </c>
      <c r="K20" s="5"/>
      <c r="L20" s="3"/>
      <c r="M20" s="3">
        <f>IF(AND($C20&gt;=0,$C20&lt;=入力!$Q$38),M$1,0)</f>
        <v>17.820000000000004</v>
      </c>
      <c r="N20" s="3">
        <f>IF(AND($C20&gt;=0,$C20&lt;=入力!$Q$38),N$1,0)</f>
        <v>6.6000000000000005</v>
      </c>
      <c r="O20" s="3">
        <f>IF(AND($C20&gt;=0,$C20&lt;=入力!$Q$38),O$1,0)</f>
        <v>1.6500000000000001</v>
      </c>
      <c r="P20" s="3">
        <f>IF(AND($C20&gt;=0,$C20&lt;=入力!$Q$38),P$1,0)</f>
        <v>1.3200000000000003</v>
      </c>
      <c r="Q20" s="3">
        <f>IF(AND($C20&gt;=0,$C20&lt;=入力!$Q$38),Q$1,0)</f>
        <v>0.82500000000000007</v>
      </c>
      <c r="R20" s="3"/>
      <c r="S20" s="14"/>
      <c r="T20" s="18">
        <f t="shared" si="1"/>
        <v>28.215000000000003</v>
      </c>
      <c r="U20" s="24">
        <f t="shared" si="2"/>
        <v>-16.215000000000003</v>
      </c>
      <c r="V20" s="5"/>
      <c r="W20" s="3">
        <f>IF(AND($C20&gt;=10,$C20&lt;=入力!$Q$38),W$1,0)</f>
        <v>0</v>
      </c>
      <c r="X20" s="3">
        <f>IFERROR(VLOOKUP($C20,学費計算!$C:$R,学費計算!H$1,0),0)</f>
        <v>12</v>
      </c>
      <c r="Y20" s="3">
        <f>IFERROR(VLOOKUP($C20,学費計算!$C:$R,学費計算!I$1,0),0)</f>
        <v>0</v>
      </c>
      <c r="Z20" s="3">
        <f>IFERROR(VLOOKUP($C20,学費計算!$C:$R,学費計算!J$1,0),0)</f>
        <v>3.6476999999999999</v>
      </c>
      <c r="AA20" s="3">
        <f>IFERROR(VLOOKUP($C20,学費計算!$C:$R,学費計算!K$1,0),0)</f>
        <v>0</v>
      </c>
      <c r="AB20" s="14"/>
      <c r="AC20" s="18">
        <f t="shared" si="3"/>
        <v>15.6477</v>
      </c>
      <c r="AD20" s="24">
        <f t="shared" si="4"/>
        <v>-31.862700000000004</v>
      </c>
      <c r="AE20" s="5">
        <f>IF(AND($C20&gt;=0,$C20&lt;=入力!$Q$38),AE$1,0)</f>
        <v>6</v>
      </c>
      <c r="AF20" s="3"/>
      <c r="AG20" s="3"/>
      <c r="AH20" s="3"/>
      <c r="AI20" s="3"/>
      <c r="AJ20" s="14"/>
      <c r="AK20" s="18">
        <f t="shared" si="7"/>
        <v>6</v>
      </c>
      <c r="AL20" s="24">
        <f t="shared" si="5"/>
        <v>-37.862700000000004</v>
      </c>
      <c r="AM20" s="24">
        <f t="shared" si="6"/>
        <v>-301.34280000000001</v>
      </c>
    </row>
    <row r="21" spans="2:39" x14ac:dyDescent="0.25">
      <c r="B21" s="5">
        <f t="shared" si="8"/>
        <v>34</v>
      </c>
      <c r="C21" s="3">
        <f t="shared" si="9"/>
        <v>8</v>
      </c>
      <c r="D21" s="34"/>
      <c r="E21" s="3">
        <f>IF(親1!D21&lt;=833.3+42*親1!AS21,IF(AND(C21&gt;=0,C21&lt;=3),1.5*12,IF(AND(C21&gt;3,C21&lt;=15),1*12,0)),IF(AND(C21&gt;=0,C21&lt;=15),0.5*12,0))</f>
        <v>12</v>
      </c>
      <c r="F21" s="3"/>
      <c r="G21" s="3"/>
      <c r="H21" s="3"/>
      <c r="I21" s="14"/>
      <c r="J21" s="24">
        <f t="shared" si="0"/>
        <v>12</v>
      </c>
      <c r="K21" s="5"/>
      <c r="L21" s="3"/>
      <c r="M21" s="3">
        <f>IF(AND($C21&gt;=0,$C21&lt;=入力!$Q$38),M$1,0)</f>
        <v>17.820000000000004</v>
      </c>
      <c r="N21" s="3">
        <f>IF(AND($C21&gt;=0,$C21&lt;=入力!$Q$38),N$1,0)</f>
        <v>6.6000000000000005</v>
      </c>
      <c r="O21" s="3">
        <f>IF(AND($C21&gt;=0,$C21&lt;=入力!$Q$38),O$1,0)</f>
        <v>1.6500000000000001</v>
      </c>
      <c r="P21" s="3">
        <f>IF(AND($C21&gt;=0,$C21&lt;=入力!$Q$38),P$1,0)</f>
        <v>1.3200000000000003</v>
      </c>
      <c r="Q21" s="3">
        <f>IF(AND($C21&gt;=0,$C21&lt;=入力!$Q$38),Q$1,0)</f>
        <v>0.82500000000000007</v>
      </c>
      <c r="R21" s="3"/>
      <c r="S21" s="14"/>
      <c r="T21" s="18">
        <f t="shared" si="1"/>
        <v>28.215000000000003</v>
      </c>
      <c r="U21" s="24">
        <f t="shared" si="2"/>
        <v>-16.215000000000003</v>
      </c>
      <c r="V21" s="5"/>
      <c r="W21" s="3">
        <f>IF(AND($C21&gt;=10,$C21&lt;=入力!$Q$38),W$1,0)</f>
        <v>0</v>
      </c>
      <c r="X21" s="3">
        <f>IFERROR(VLOOKUP($C21,学費計算!$C:$R,学費計算!H$1,0),0)</f>
        <v>12</v>
      </c>
      <c r="Y21" s="3">
        <f>IFERROR(VLOOKUP($C21,学費計算!$C:$R,学費計算!I$1,0),0)</f>
        <v>0</v>
      </c>
      <c r="Z21" s="3">
        <f>IFERROR(VLOOKUP($C21,学費計算!$C:$R,学費計算!J$1,0),0)</f>
        <v>4.6673999999999998</v>
      </c>
      <c r="AA21" s="3">
        <f>IFERROR(VLOOKUP($C21,学費計算!$C:$R,学費計算!K$1,0),0)</f>
        <v>0</v>
      </c>
      <c r="AB21" s="14"/>
      <c r="AC21" s="18">
        <f t="shared" si="3"/>
        <v>16.667400000000001</v>
      </c>
      <c r="AD21" s="24">
        <f t="shared" si="4"/>
        <v>-32.882400000000004</v>
      </c>
      <c r="AE21" s="5">
        <f>IF(AND($C21&gt;=0,$C21&lt;=入力!$Q$38),AE$1,0)</f>
        <v>6</v>
      </c>
      <c r="AF21" s="3"/>
      <c r="AG21" s="3"/>
      <c r="AH21" s="3"/>
      <c r="AI21" s="3"/>
      <c r="AJ21" s="14"/>
      <c r="AK21" s="18">
        <f t="shared" si="7"/>
        <v>6</v>
      </c>
      <c r="AL21" s="24">
        <f t="shared" si="5"/>
        <v>-38.882400000000004</v>
      </c>
      <c r="AM21" s="24">
        <f t="shared" si="6"/>
        <v>-340.22520000000003</v>
      </c>
    </row>
    <row r="22" spans="2:39" x14ac:dyDescent="0.25">
      <c r="B22" s="5">
        <f t="shared" si="8"/>
        <v>35</v>
      </c>
      <c r="C22" s="3">
        <f t="shared" si="9"/>
        <v>9</v>
      </c>
      <c r="D22" s="34"/>
      <c r="E22" s="3">
        <f>IF(親1!D22&lt;=833.3+42*親1!AS22,IF(AND(C22&gt;=0,C22&lt;=3),1.5*12,IF(AND(C22&gt;3,C22&lt;=15),1*12,0)),IF(AND(C22&gt;=0,C22&lt;=15),0.5*12,0))</f>
        <v>12</v>
      </c>
      <c r="F22" s="3"/>
      <c r="G22" s="3"/>
      <c r="H22" s="3"/>
      <c r="I22" s="14"/>
      <c r="J22" s="24">
        <f t="shared" si="0"/>
        <v>12</v>
      </c>
      <c r="K22" s="5"/>
      <c r="L22" s="3"/>
      <c r="M22" s="3">
        <f>IF(AND($C22&gt;=0,$C22&lt;=入力!$Q$38),M$1,0)</f>
        <v>17.820000000000004</v>
      </c>
      <c r="N22" s="3">
        <f>IF(AND($C22&gt;=0,$C22&lt;=入力!$Q$38),N$1,0)</f>
        <v>6.6000000000000005</v>
      </c>
      <c r="O22" s="3">
        <f>IF(AND($C22&gt;=0,$C22&lt;=入力!$Q$38),O$1,0)</f>
        <v>1.6500000000000001</v>
      </c>
      <c r="P22" s="3">
        <f>IF(AND($C22&gt;=0,$C22&lt;=入力!$Q$38),P$1,0)</f>
        <v>1.3200000000000003</v>
      </c>
      <c r="Q22" s="3">
        <f>IF(AND($C22&gt;=0,$C22&lt;=入力!$Q$38),Q$1,0)</f>
        <v>0.82500000000000007</v>
      </c>
      <c r="R22" s="3"/>
      <c r="S22" s="14"/>
      <c r="T22" s="18">
        <f t="shared" si="1"/>
        <v>28.215000000000003</v>
      </c>
      <c r="U22" s="24">
        <f t="shared" si="2"/>
        <v>-16.215000000000003</v>
      </c>
      <c r="V22" s="5"/>
      <c r="W22" s="3">
        <f>IF(AND($C22&gt;=10,$C22&lt;=入力!$Q$38),W$1,0)</f>
        <v>0</v>
      </c>
      <c r="X22" s="3">
        <f>IFERROR(VLOOKUP($C22,学費計算!$C:$R,学費計算!H$1,0),0)</f>
        <v>12</v>
      </c>
      <c r="Y22" s="3">
        <f>IFERROR(VLOOKUP($C22,学費計算!$C:$R,学費計算!I$1,0),0)</f>
        <v>0</v>
      </c>
      <c r="Z22" s="3">
        <f>IFERROR(VLOOKUP($C22,学費計算!$C:$R,学費計算!J$1,0),0)</f>
        <v>4.5660999999999996</v>
      </c>
      <c r="AA22" s="3">
        <f>IFERROR(VLOOKUP($C22,学費計算!$C:$R,学費計算!K$1,0),0)</f>
        <v>0</v>
      </c>
      <c r="AB22" s="14"/>
      <c r="AC22" s="18">
        <f t="shared" si="3"/>
        <v>16.566099999999999</v>
      </c>
      <c r="AD22" s="24">
        <f t="shared" si="4"/>
        <v>-32.781100000000002</v>
      </c>
      <c r="AE22" s="5">
        <f>IF(AND($C22&gt;=0,$C22&lt;=入力!$Q$38),AE$1,0)</f>
        <v>6</v>
      </c>
      <c r="AF22" s="3"/>
      <c r="AG22" s="3"/>
      <c r="AH22" s="3"/>
      <c r="AI22" s="3"/>
      <c r="AJ22" s="14"/>
      <c r="AK22" s="18">
        <f t="shared" si="7"/>
        <v>6</v>
      </c>
      <c r="AL22" s="24">
        <f t="shared" si="5"/>
        <v>-38.781100000000002</v>
      </c>
      <c r="AM22" s="24">
        <f t="shared" si="6"/>
        <v>-379.00630000000001</v>
      </c>
    </row>
    <row r="23" spans="2:39" x14ac:dyDescent="0.25">
      <c r="B23" s="5">
        <f t="shared" si="8"/>
        <v>36</v>
      </c>
      <c r="C23" s="3">
        <f t="shared" si="9"/>
        <v>10</v>
      </c>
      <c r="D23" s="34"/>
      <c r="E23" s="3">
        <f>IF(親1!D23&lt;=833.3+42*親1!AS23,IF(AND(C23&gt;=0,C23&lt;=3),1.5*12,IF(AND(C23&gt;3,C23&lt;=15),1*12,0)),IF(AND(C23&gt;=0,C23&lt;=15),0.5*12,0))</f>
        <v>12</v>
      </c>
      <c r="F23" s="3"/>
      <c r="G23" s="3"/>
      <c r="H23" s="3"/>
      <c r="I23" s="14"/>
      <c r="J23" s="24">
        <f t="shared" si="0"/>
        <v>12</v>
      </c>
      <c r="K23" s="5"/>
      <c r="L23" s="3"/>
      <c r="M23" s="3">
        <f>IF(AND($C23&gt;=0,$C23&lt;=入力!$Q$38),M$1,0)</f>
        <v>17.820000000000004</v>
      </c>
      <c r="N23" s="3">
        <f>IF(AND($C23&gt;=0,$C23&lt;=入力!$Q$38),N$1,0)</f>
        <v>6.6000000000000005</v>
      </c>
      <c r="O23" s="3">
        <f>IF(AND($C23&gt;=0,$C23&lt;=入力!$Q$38),O$1,0)</f>
        <v>1.6500000000000001</v>
      </c>
      <c r="P23" s="3">
        <f>IF(AND($C23&gt;=0,$C23&lt;=入力!$Q$38),P$1,0)</f>
        <v>1.3200000000000003</v>
      </c>
      <c r="Q23" s="3">
        <f>IF(AND($C23&gt;=0,$C23&lt;=入力!$Q$38),Q$1,0)</f>
        <v>0.82500000000000007</v>
      </c>
      <c r="R23" s="3"/>
      <c r="S23" s="14"/>
      <c r="T23" s="18">
        <f t="shared" si="1"/>
        <v>28.215000000000003</v>
      </c>
      <c r="U23" s="24">
        <f t="shared" si="2"/>
        <v>-16.215000000000003</v>
      </c>
      <c r="V23" s="5"/>
      <c r="W23" s="3">
        <f>IF(AND($C23&gt;=10,$C23&lt;=入力!$Q$38),W$1,0)</f>
        <v>2.4000000000000004</v>
      </c>
      <c r="X23" s="3">
        <f>IFERROR(VLOOKUP($C23,学費計算!$C:$R,学費計算!H$1,0),0)</f>
        <v>12</v>
      </c>
      <c r="Y23" s="3">
        <f>IFERROR(VLOOKUP($C23,学費計算!$C:$R,学費計算!I$1,0),0)</f>
        <v>0</v>
      </c>
      <c r="Z23" s="3">
        <f>IFERROR(VLOOKUP($C23,学費計算!$C:$R,学費計算!J$1,0),0)</f>
        <v>5.6357999999999997</v>
      </c>
      <c r="AA23" s="3">
        <f>IFERROR(VLOOKUP($C23,学費計算!$C:$R,学費計算!K$1,0),0)</f>
        <v>0</v>
      </c>
      <c r="AB23" s="14"/>
      <c r="AC23" s="18">
        <f t="shared" si="3"/>
        <v>20.035800000000002</v>
      </c>
      <c r="AD23" s="24">
        <f t="shared" si="4"/>
        <v>-36.250800000000005</v>
      </c>
      <c r="AE23" s="5">
        <f>IF(AND($C23&gt;=0,$C23&lt;=入力!$Q$38),AE$1,0)</f>
        <v>6</v>
      </c>
      <c r="AF23" s="3"/>
      <c r="AG23" s="3"/>
      <c r="AH23" s="3"/>
      <c r="AI23" s="3"/>
      <c r="AJ23" s="14"/>
      <c r="AK23" s="18">
        <f t="shared" si="7"/>
        <v>6</v>
      </c>
      <c r="AL23" s="24">
        <f t="shared" si="5"/>
        <v>-42.250800000000005</v>
      </c>
      <c r="AM23" s="24">
        <f t="shared" si="6"/>
        <v>-421.25710000000004</v>
      </c>
    </row>
    <row r="24" spans="2:39" x14ac:dyDescent="0.25">
      <c r="B24" s="5">
        <f t="shared" si="8"/>
        <v>37</v>
      </c>
      <c r="C24" s="3">
        <f t="shared" si="9"/>
        <v>11</v>
      </c>
      <c r="D24" s="34"/>
      <c r="E24" s="3">
        <f>IF(親1!D24&lt;=833.3+42*親1!AS24,IF(AND(C24&gt;=0,C24&lt;=3),1.5*12,IF(AND(C24&gt;3,C24&lt;=15),1*12,0)),IF(AND(C24&gt;=0,C24&lt;=15),0.5*12,0))</f>
        <v>12</v>
      </c>
      <c r="F24" s="3"/>
      <c r="G24" s="3"/>
      <c r="H24" s="3"/>
      <c r="I24" s="14"/>
      <c r="J24" s="24">
        <f t="shared" si="0"/>
        <v>12</v>
      </c>
      <c r="K24" s="5"/>
      <c r="L24" s="3"/>
      <c r="M24" s="3">
        <f>IF(AND($C24&gt;=0,$C24&lt;=入力!$Q$38),M$1,0)</f>
        <v>17.820000000000004</v>
      </c>
      <c r="N24" s="3">
        <f>IF(AND($C24&gt;=0,$C24&lt;=入力!$Q$38),N$1,0)</f>
        <v>6.6000000000000005</v>
      </c>
      <c r="O24" s="3">
        <f>IF(AND($C24&gt;=0,$C24&lt;=入力!$Q$38),O$1,0)</f>
        <v>1.6500000000000001</v>
      </c>
      <c r="P24" s="3">
        <f>IF(AND($C24&gt;=0,$C24&lt;=入力!$Q$38),P$1,0)</f>
        <v>1.3200000000000003</v>
      </c>
      <c r="Q24" s="3">
        <f>IF(AND($C24&gt;=0,$C24&lt;=入力!$Q$38),Q$1,0)</f>
        <v>0.82500000000000007</v>
      </c>
      <c r="R24" s="3"/>
      <c r="S24" s="14"/>
      <c r="T24" s="18">
        <f t="shared" si="1"/>
        <v>28.215000000000003</v>
      </c>
      <c r="U24" s="24">
        <f t="shared" si="2"/>
        <v>-16.215000000000003</v>
      </c>
      <c r="V24" s="5"/>
      <c r="W24" s="3">
        <f>IF(AND($C24&gt;=10,$C24&lt;=入力!$Q$38),W$1,0)</f>
        <v>2.4000000000000004</v>
      </c>
      <c r="X24" s="3">
        <f>IFERROR(VLOOKUP($C24,学費計算!$C:$R,学費計算!H$1,0),0)</f>
        <v>12</v>
      </c>
      <c r="Y24" s="3">
        <f>IFERROR(VLOOKUP($C24,学費計算!$C:$R,学費計算!I$1,0),0)</f>
        <v>0</v>
      </c>
      <c r="Z24" s="3">
        <f>IFERROR(VLOOKUP($C24,学費計算!$C:$R,学費計算!J$1,0),0)</f>
        <v>8.4511000000000003</v>
      </c>
      <c r="AA24" s="3">
        <f>IFERROR(VLOOKUP($C24,学費計算!$C:$R,学費計算!K$1,0),0)</f>
        <v>0</v>
      </c>
      <c r="AB24" s="14"/>
      <c r="AC24" s="18">
        <f t="shared" si="3"/>
        <v>22.851100000000002</v>
      </c>
      <c r="AD24" s="24">
        <f t="shared" si="4"/>
        <v>-39.066100000000006</v>
      </c>
      <c r="AE24" s="5">
        <f>IF(AND($C24&gt;=0,$C24&lt;=入力!$Q$38),AE$1,0)</f>
        <v>6</v>
      </c>
      <c r="AF24" s="3"/>
      <c r="AG24" s="3"/>
      <c r="AH24" s="3"/>
      <c r="AI24" s="3"/>
      <c r="AJ24" s="14"/>
      <c r="AK24" s="18">
        <f t="shared" si="7"/>
        <v>6</v>
      </c>
      <c r="AL24" s="24">
        <f t="shared" si="5"/>
        <v>-45.066100000000006</v>
      </c>
      <c r="AM24" s="24">
        <f t="shared" si="6"/>
        <v>-466.32320000000004</v>
      </c>
    </row>
    <row r="25" spans="2:39" x14ac:dyDescent="0.25">
      <c r="B25" s="5">
        <f t="shared" si="8"/>
        <v>38</v>
      </c>
      <c r="C25" s="3">
        <f t="shared" si="9"/>
        <v>12</v>
      </c>
      <c r="D25" s="34"/>
      <c r="E25" s="3">
        <f>IF(親1!D25&lt;=833.3+42*親1!AS25,IF(AND(C25&gt;=0,C25&lt;=3),1.5*12,IF(AND(C25&gt;3,C25&lt;=15),1*12,0)),IF(AND(C25&gt;=0,C25&lt;=15),0.5*12,0))</f>
        <v>12</v>
      </c>
      <c r="F25" s="3"/>
      <c r="G25" s="3"/>
      <c r="H25" s="3"/>
      <c r="I25" s="14"/>
      <c r="J25" s="24">
        <f t="shared" si="0"/>
        <v>12</v>
      </c>
      <c r="K25" s="5"/>
      <c r="L25" s="3"/>
      <c r="M25" s="3">
        <f>IF(AND($C25&gt;=0,$C25&lt;=入力!$Q$38),M$1,0)</f>
        <v>17.820000000000004</v>
      </c>
      <c r="N25" s="3">
        <f>IF(AND($C25&gt;=0,$C25&lt;=入力!$Q$38),N$1,0)</f>
        <v>6.6000000000000005</v>
      </c>
      <c r="O25" s="3">
        <f>IF(AND($C25&gt;=0,$C25&lt;=入力!$Q$38),O$1,0)</f>
        <v>1.6500000000000001</v>
      </c>
      <c r="P25" s="3">
        <f>IF(AND($C25&gt;=0,$C25&lt;=入力!$Q$38),P$1,0)</f>
        <v>1.3200000000000003</v>
      </c>
      <c r="Q25" s="3">
        <f>IF(AND($C25&gt;=0,$C25&lt;=入力!$Q$38),Q$1,0)</f>
        <v>0.82500000000000007</v>
      </c>
      <c r="R25" s="3"/>
      <c r="S25" s="14"/>
      <c r="T25" s="18">
        <f t="shared" si="1"/>
        <v>28.215000000000003</v>
      </c>
      <c r="U25" s="24">
        <f t="shared" si="2"/>
        <v>-16.215000000000003</v>
      </c>
      <c r="V25" s="5"/>
      <c r="W25" s="3">
        <f>IF(AND($C25&gt;=10,$C25&lt;=入力!$Q$38),W$1,0)</f>
        <v>2.4000000000000004</v>
      </c>
      <c r="X25" s="3">
        <f>IFERROR(VLOOKUP($C25,学費計算!$C:$R,学費計算!H$1,0),0)</f>
        <v>0</v>
      </c>
      <c r="Y25" s="3">
        <f>IFERROR(VLOOKUP($C25,学費計算!$C:$R,学費計算!I$1,0),0)</f>
        <v>12</v>
      </c>
      <c r="Z25" s="3">
        <f>IFERROR(VLOOKUP($C25,学費計算!$C:$R,学費計算!J$1,0),0)</f>
        <v>19.459900000000001</v>
      </c>
      <c r="AA25" s="3">
        <f>IFERROR(VLOOKUP($C25,学費計算!$C:$R,学費計算!K$1,0),0)</f>
        <v>0</v>
      </c>
      <c r="AB25" s="14"/>
      <c r="AC25" s="18">
        <f t="shared" si="3"/>
        <v>33.859900000000003</v>
      </c>
      <c r="AD25" s="24">
        <f t="shared" si="4"/>
        <v>-50.074900000000007</v>
      </c>
      <c r="AE25" s="5">
        <f>IF(AND($C25&gt;=0,$C25&lt;=入力!$Q$38),AE$1,0)</f>
        <v>6</v>
      </c>
      <c r="AF25" s="3"/>
      <c r="AG25" s="3"/>
      <c r="AH25" s="3"/>
      <c r="AI25" s="3"/>
      <c r="AJ25" s="14"/>
      <c r="AK25" s="18">
        <f t="shared" si="7"/>
        <v>6</v>
      </c>
      <c r="AL25" s="24">
        <f t="shared" si="5"/>
        <v>-56.074900000000007</v>
      </c>
      <c r="AM25" s="24">
        <f t="shared" si="6"/>
        <v>-522.3981</v>
      </c>
    </row>
    <row r="26" spans="2:39" x14ac:dyDescent="0.25">
      <c r="B26" s="5">
        <f t="shared" si="8"/>
        <v>39</v>
      </c>
      <c r="C26" s="3">
        <f t="shared" si="9"/>
        <v>13</v>
      </c>
      <c r="D26" s="34"/>
      <c r="E26" s="3">
        <f>IF(親1!D26&lt;=833.3+42*親1!AS26,IF(AND(C26&gt;=0,C26&lt;=3),1.5*12,IF(AND(C26&gt;3,C26&lt;=15),1*12,0)),IF(AND(C26&gt;=0,C26&lt;=15),0.5*12,0))</f>
        <v>12</v>
      </c>
      <c r="F26" s="3"/>
      <c r="G26" s="3"/>
      <c r="H26" s="3"/>
      <c r="I26" s="14"/>
      <c r="J26" s="24">
        <f t="shared" si="0"/>
        <v>12</v>
      </c>
      <c r="K26" s="5"/>
      <c r="L26" s="3"/>
      <c r="M26" s="3">
        <f>IF(AND($C26&gt;=0,$C26&lt;=入力!$Q$38),M$1,0)</f>
        <v>17.820000000000004</v>
      </c>
      <c r="N26" s="3">
        <f>IF(AND($C26&gt;=0,$C26&lt;=入力!$Q$38),N$1,0)</f>
        <v>6.6000000000000005</v>
      </c>
      <c r="O26" s="3">
        <f>IF(AND($C26&gt;=0,$C26&lt;=入力!$Q$38),O$1,0)</f>
        <v>1.6500000000000001</v>
      </c>
      <c r="P26" s="3">
        <f>IF(AND($C26&gt;=0,$C26&lt;=入力!$Q$38),P$1,0)</f>
        <v>1.3200000000000003</v>
      </c>
      <c r="Q26" s="3">
        <f>IF(AND($C26&gt;=0,$C26&lt;=入力!$Q$38),Q$1,0)</f>
        <v>0.82500000000000007</v>
      </c>
      <c r="R26" s="3"/>
      <c r="S26" s="14"/>
      <c r="T26" s="18">
        <f t="shared" si="1"/>
        <v>28.215000000000003</v>
      </c>
      <c r="U26" s="24">
        <f t="shared" si="2"/>
        <v>-16.215000000000003</v>
      </c>
      <c r="V26" s="5"/>
      <c r="W26" s="3">
        <f>IF(AND($C26&gt;=10,$C26&lt;=入力!$Q$38),W$1,0)</f>
        <v>2.4000000000000004</v>
      </c>
      <c r="X26" s="3">
        <f>IFERROR(VLOOKUP($C26,学費計算!$C:$R,学費計算!H$1,0),0)</f>
        <v>0</v>
      </c>
      <c r="Y26" s="3">
        <f>IFERROR(VLOOKUP($C26,学費計算!$C:$R,学費計算!I$1,0),0)</f>
        <v>12</v>
      </c>
      <c r="Z26" s="3">
        <f>IFERROR(VLOOKUP($C26,学費計算!$C:$R,学費計算!J$1,0),0)</f>
        <v>10.5365</v>
      </c>
      <c r="AA26" s="3">
        <f>IFERROR(VLOOKUP($C26,学費計算!$C:$R,学費計算!K$1,0),0)</f>
        <v>0</v>
      </c>
      <c r="AB26" s="14"/>
      <c r="AC26" s="18">
        <f t="shared" si="3"/>
        <v>24.936500000000002</v>
      </c>
      <c r="AD26" s="24">
        <f t="shared" si="4"/>
        <v>-41.151500000000006</v>
      </c>
      <c r="AE26" s="5">
        <f>IF(AND($C26&gt;=0,$C26&lt;=入力!$Q$38),AE$1,0)</f>
        <v>6</v>
      </c>
      <c r="AF26" s="3"/>
      <c r="AG26" s="3"/>
      <c r="AH26" s="3"/>
      <c r="AI26" s="3"/>
      <c r="AJ26" s="14"/>
      <c r="AK26" s="18">
        <f t="shared" si="7"/>
        <v>6</v>
      </c>
      <c r="AL26" s="24">
        <f t="shared" si="5"/>
        <v>-47.151500000000006</v>
      </c>
      <c r="AM26" s="24">
        <f t="shared" si="6"/>
        <v>-569.54960000000005</v>
      </c>
    </row>
    <row r="27" spans="2:39" x14ac:dyDescent="0.25">
      <c r="B27" s="5">
        <f t="shared" si="8"/>
        <v>40</v>
      </c>
      <c r="C27" s="3">
        <f t="shared" si="9"/>
        <v>14</v>
      </c>
      <c r="D27" s="34"/>
      <c r="E27" s="3">
        <f>IF(親1!D27&lt;=833.3+42*親1!AS27,IF(AND(C27&gt;=0,C27&lt;=3),1.5*12,IF(AND(C27&gt;3,C27&lt;=15),1*12,0)),IF(AND(C27&gt;=0,C27&lt;=15),0.5*12,0))</f>
        <v>12</v>
      </c>
      <c r="F27" s="3"/>
      <c r="G27" s="3"/>
      <c r="H27" s="3"/>
      <c r="I27" s="14"/>
      <c r="J27" s="24">
        <f t="shared" si="0"/>
        <v>12</v>
      </c>
      <c r="K27" s="5"/>
      <c r="L27" s="3"/>
      <c r="M27" s="3">
        <f>IF(AND($C27&gt;=0,$C27&lt;=入力!$Q$38),M$1,0)</f>
        <v>17.820000000000004</v>
      </c>
      <c r="N27" s="3">
        <f>IF(AND($C27&gt;=0,$C27&lt;=入力!$Q$38),N$1,0)</f>
        <v>6.6000000000000005</v>
      </c>
      <c r="O27" s="3">
        <f>IF(AND($C27&gt;=0,$C27&lt;=入力!$Q$38),O$1,0)</f>
        <v>1.6500000000000001</v>
      </c>
      <c r="P27" s="3">
        <f>IF(AND($C27&gt;=0,$C27&lt;=入力!$Q$38),P$1,0)</f>
        <v>1.3200000000000003</v>
      </c>
      <c r="Q27" s="3">
        <f>IF(AND($C27&gt;=0,$C27&lt;=入力!$Q$38),Q$1,0)</f>
        <v>0.82500000000000007</v>
      </c>
      <c r="R27" s="3"/>
      <c r="S27" s="14"/>
      <c r="T27" s="18">
        <f t="shared" si="1"/>
        <v>28.215000000000003</v>
      </c>
      <c r="U27" s="24">
        <f t="shared" si="2"/>
        <v>-16.215000000000003</v>
      </c>
      <c r="V27" s="5"/>
      <c r="W27" s="3">
        <f>IF(AND($C27&gt;=10,$C27&lt;=入力!$Q$38),W$1,0)</f>
        <v>2.4000000000000004</v>
      </c>
      <c r="X27" s="3">
        <f>IFERROR(VLOOKUP($C27,学費計算!$C:$R,学費計算!H$1,0),0)</f>
        <v>0</v>
      </c>
      <c r="Y27" s="3">
        <f>IFERROR(VLOOKUP($C27,学費計算!$C:$R,学費計算!I$1,0),0)</f>
        <v>12</v>
      </c>
      <c r="Z27" s="3">
        <f>IFERROR(VLOOKUP($C27,学費計算!$C:$R,学費計算!J$1,0),0)</f>
        <v>11.936</v>
      </c>
      <c r="AA27" s="3">
        <f>IFERROR(VLOOKUP($C27,学費計算!$C:$R,学費計算!K$1,0),0)</f>
        <v>0</v>
      </c>
      <c r="AB27" s="14"/>
      <c r="AC27" s="18">
        <f t="shared" si="3"/>
        <v>26.335999999999999</v>
      </c>
      <c r="AD27" s="24">
        <f t="shared" si="4"/>
        <v>-42.551000000000002</v>
      </c>
      <c r="AE27" s="5">
        <f>IF(AND($C27&gt;=0,$C27&lt;=入力!$Q$38),AE$1,0)</f>
        <v>6</v>
      </c>
      <c r="AF27" s="3"/>
      <c r="AG27" s="3"/>
      <c r="AH27" s="3"/>
      <c r="AI27" s="3"/>
      <c r="AJ27" s="14"/>
      <c r="AK27" s="18">
        <f t="shared" si="7"/>
        <v>6</v>
      </c>
      <c r="AL27" s="24">
        <f t="shared" si="5"/>
        <v>-48.551000000000002</v>
      </c>
      <c r="AM27" s="24">
        <f t="shared" si="6"/>
        <v>-618.1006000000001</v>
      </c>
    </row>
    <row r="28" spans="2:39" x14ac:dyDescent="0.25">
      <c r="B28" s="5">
        <f t="shared" si="8"/>
        <v>41</v>
      </c>
      <c r="C28" s="3">
        <f t="shared" si="9"/>
        <v>15</v>
      </c>
      <c r="D28" s="34"/>
      <c r="E28" s="3">
        <f>IF(親1!D28&lt;=833.3+42*親1!AS28,IF(AND(C28&gt;=0,C28&lt;=3),1.5*12,IF(AND(C28&gt;3,C28&lt;=15),1*12,0)),IF(AND(C28&gt;=0,C28&lt;=15),0.5*12,0))</f>
        <v>12</v>
      </c>
      <c r="F28" s="3"/>
      <c r="G28" s="3"/>
      <c r="H28" s="3"/>
      <c r="I28" s="14"/>
      <c r="J28" s="24">
        <f t="shared" si="0"/>
        <v>12</v>
      </c>
      <c r="K28" s="5"/>
      <c r="L28" s="3"/>
      <c r="M28" s="3">
        <f>IF(AND($C28&gt;=0,$C28&lt;=入力!$Q$38),M$1,0)</f>
        <v>17.820000000000004</v>
      </c>
      <c r="N28" s="3">
        <f>IF(AND($C28&gt;=0,$C28&lt;=入力!$Q$38),N$1,0)</f>
        <v>6.6000000000000005</v>
      </c>
      <c r="O28" s="3">
        <f>IF(AND($C28&gt;=0,$C28&lt;=入力!$Q$38),O$1,0)</f>
        <v>1.6500000000000001</v>
      </c>
      <c r="P28" s="3">
        <f>IF(AND($C28&gt;=0,$C28&lt;=入力!$Q$38),P$1,0)</f>
        <v>1.3200000000000003</v>
      </c>
      <c r="Q28" s="3">
        <f>IF(AND($C28&gt;=0,$C28&lt;=入力!$Q$38),Q$1,0)</f>
        <v>0.82500000000000007</v>
      </c>
      <c r="R28" s="3"/>
      <c r="S28" s="14"/>
      <c r="T28" s="18">
        <f t="shared" si="1"/>
        <v>28.215000000000003</v>
      </c>
      <c r="U28" s="24">
        <f t="shared" si="2"/>
        <v>-16.215000000000003</v>
      </c>
      <c r="V28" s="5"/>
      <c r="W28" s="3">
        <f>IF(AND($C28&gt;=10,$C28&lt;=入力!$Q$38),W$1,0)</f>
        <v>2.4000000000000004</v>
      </c>
      <c r="X28" s="3">
        <f>IFERROR(VLOOKUP($C28,学費計算!$C:$R,学費計算!H$1,0),0)</f>
        <v>0</v>
      </c>
      <c r="Y28" s="3">
        <f>IFERROR(VLOOKUP($C28,学費計算!$C:$R,学費計算!I$1,0),0)</f>
        <v>24</v>
      </c>
      <c r="Z28" s="3">
        <f>IFERROR(VLOOKUP($C28,学費計算!$C:$R,学費計算!J$1,0),0)</f>
        <v>37.037399999999998</v>
      </c>
      <c r="AA28" s="3">
        <f>IFERROR(VLOOKUP($C28,学費計算!$C:$R,学費計算!K$1,0),0)</f>
        <v>0</v>
      </c>
      <c r="AB28" s="14"/>
      <c r="AC28" s="18">
        <f t="shared" si="3"/>
        <v>63.437399999999997</v>
      </c>
      <c r="AD28" s="24">
        <f t="shared" si="4"/>
        <v>-79.6524</v>
      </c>
      <c r="AE28" s="5">
        <f>IF(AND($C28&gt;=0,$C28&lt;=入力!$Q$38),AE$1,0)</f>
        <v>6</v>
      </c>
      <c r="AF28" s="3"/>
      <c r="AG28" s="3"/>
      <c r="AH28" s="3"/>
      <c r="AI28" s="3"/>
      <c r="AJ28" s="14"/>
      <c r="AK28" s="18">
        <f t="shared" si="7"/>
        <v>6</v>
      </c>
      <c r="AL28" s="24">
        <f t="shared" si="5"/>
        <v>-85.6524</v>
      </c>
      <c r="AM28" s="24">
        <f t="shared" si="6"/>
        <v>-703.75300000000016</v>
      </c>
    </row>
    <row r="29" spans="2:39" x14ac:dyDescent="0.25">
      <c r="B29" s="5">
        <f t="shared" si="8"/>
        <v>42</v>
      </c>
      <c r="C29" s="3">
        <f t="shared" si="9"/>
        <v>16</v>
      </c>
      <c r="D29" s="34"/>
      <c r="E29" s="3">
        <f>IF(親1!D29&lt;=833.3+42*親1!AS29,IF(AND(C29&gt;=0,C29&lt;=3),1.5*12,IF(AND(C29&gt;3,C29&lt;=15),1*12,0)),IF(AND(C29&gt;=0,C29&lt;=15),0.5*12,0))</f>
        <v>0</v>
      </c>
      <c r="F29" s="3"/>
      <c r="G29" s="3"/>
      <c r="H29" s="3"/>
      <c r="I29" s="14"/>
      <c r="J29" s="24">
        <f t="shared" si="0"/>
        <v>0</v>
      </c>
      <c r="K29" s="5"/>
      <c r="L29" s="3"/>
      <c r="M29" s="3">
        <f>IF(AND($C29&gt;=0,$C29&lt;=入力!$Q$38),M$1,0)</f>
        <v>17.820000000000004</v>
      </c>
      <c r="N29" s="3">
        <f>IF(AND($C29&gt;=0,$C29&lt;=入力!$Q$38),N$1,0)</f>
        <v>6.6000000000000005</v>
      </c>
      <c r="O29" s="3">
        <f>IF(AND($C29&gt;=0,$C29&lt;=入力!$Q$38),O$1,0)</f>
        <v>1.6500000000000001</v>
      </c>
      <c r="P29" s="3">
        <f>IF(AND($C29&gt;=0,$C29&lt;=入力!$Q$38),P$1,0)</f>
        <v>1.3200000000000003</v>
      </c>
      <c r="Q29" s="3">
        <f>IF(AND($C29&gt;=0,$C29&lt;=入力!$Q$38),Q$1,0)</f>
        <v>0.82500000000000007</v>
      </c>
      <c r="R29" s="3"/>
      <c r="S29" s="14"/>
      <c r="T29" s="18">
        <f t="shared" si="1"/>
        <v>28.215000000000003</v>
      </c>
      <c r="U29" s="24">
        <f t="shared" si="2"/>
        <v>-28.215000000000003</v>
      </c>
      <c r="V29" s="5"/>
      <c r="W29" s="3">
        <f>IF(AND($C29&gt;=10,$C29&lt;=入力!$Q$38),W$1,0)</f>
        <v>2.4000000000000004</v>
      </c>
      <c r="X29" s="3">
        <f>IFERROR(VLOOKUP($C29,学費計算!$C:$R,学費計算!H$1,0),0)</f>
        <v>0</v>
      </c>
      <c r="Y29" s="3">
        <f>IFERROR(VLOOKUP($C29,学費計算!$C:$R,学費計算!I$1,0),0)</f>
        <v>24</v>
      </c>
      <c r="Z29" s="3">
        <f>IFERROR(VLOOKUP($C29,学費計算!$C:$R,学費計算!J$1,0),0)</f>
        <v>29.9848</v>
      </c>
      <c r="AA29" s="3">
        <f>IFERROR(VLOOKUP($C29,学費計算!$C:$R,学費計算!K$1,0),0)</f>
        <v>0</v>
      </c>
      <c r="AB29" s="14"/>
      <c r="AC29" s="18">
        <f t="shared" si="3"/>
        <v>56.384799999999998</v>
      </c>
      <c r="AD29" s="24">
        <f t="shared" si="4"/>
        <v>-84.599800000000002</v>
      </c>
      <c r="AE29" s="5">
        <f>IF(AND($C29&gt;=0,$C29&lt;=入力!$Q$38),AE$1,0)</f>
        <v>6</v>
      </c>
      <c r="AF29" s="3"/>
      <c r="AG29" s="3"/>
      <c r="AH29" s="3"/>
      <c r="AI29" s="3"/>
      <c r="AJ29" s="14"/>
      <c r="AK29" s="18">
        <f t="shared" si="7"/>
        <v>6</v>
      </c>
      <c r="AL29" s="24">
        <f t="shared" si="5"/>
        <v>-90.599800000000002</v>
      </c>
      <c r="AM29" s="24">
        <f t="shared" si="6"/>
        <v>-794.35280000000012</v>
      </c>
    </row>
    <row r="30" spans="2:39" x14ac:dyDescent="0.25">
      <c r="B30" s="5">
        <f t="shared" si="8"/>
        <v>43</v>
      </c>
      <c r="C30" s="3">
        <f t="shared" si="9"/>
        <v>17</v>
      </c>
      <c r="D30" s="34"/>
      <c r="E30" s="3">
        <f>IF(親1!D30&lt;=833.3+42*親1!AS30,IF(AND(C30&gt;=0,C30&lt;=3),1.5*12,IF(AND(C30&gt;3,C30&lt;=15),1*12,0)),IF(AND(C30&gt;=0,C30&lt;=15),0.5*12,0))</f>
        <v>0</v>
      </c>
      <c r="F30" s="3"/>
      <c r="G30" s="3"/>
      <c r="H30" s="3"/>
      <c r="I30" s="14"/>
      <c r="J30" s="24">
        <f t="shared" si="0"/>
        <v>0</v>
      </c>
      <c r="K30" s="5"/>
      <c r="L30" s="3"/>
      <c r="M30" s="3">
        <f>IF(AND($C30&gt;=0,$C30&lt;=入力!$Q$38),M$1,0)</f>
        <v>17.820000000000004</v>
      </c>
      <c r="N30" s="3">
        <f>IF(AND($C30&gt;=0,$C30&lt;=入力!$Q$38),N$1,0)</f>
        <v>6.6000000000000005</v>
      </c>
      <c r="O30" s="3">
        <f>IF(AND($C30&gt;=0,$C30&lt;=入力!$Q$38),O$1,0)</f>
        <v>1.6500000000000001</v>
      </c>
      <c r="P30" s="3">
        <f>IF(AND($C30&gt;=0,$C30&lt;=入力!$Q$38),P$1,0)</f>
        <v>1.3200000000000003</v>
      </c>
      <c r="Q30" s="3">
        <f>IF(AND($C30&gt;=0,$C30&lt;=入力!$Q$38),Q$1,0)</f>
        <v>0.82500000000000007</v>
      </c>
      <c r="R30" s="3"/>
      <c r="S30" s="14"/>
      <c r="T30" s="18">
        <f t="shared" si="1"/>
        <v>28.215000000000003</v>
      </c>
      <c r="U30" s="24">
        <f t="shared" si="2"/>
        <v>-28.215000000000003</v>
      </c>
      <c r="V30" s="5"/>
      <c r="W30" s="3">
        <f>IF(AND($C30&gt;=10,$C30&lt;=入力!$Q$38),W$1,0)</f>
        <v>2.4000000000000004</v>
      </c>
      <c r="X30" s="3">
        <f>IFERROR(VLOOKUP($C30,学費計算!$C:$R,学費計算!H$1,0),0)</f>
        <v>0</v>
      </c>
      <c r="Y30" s="3">
        <f>IFERROR(VLOOKUP($C30,学費計算!$C:$R,学費計算!I$1,0),0)</f>
        <v>24</v>
      </c>
      <c r="Z30" s="3">
        <f>IFERROR(VLOOKUP($C30,学費計算!$C:$R,学費計算!J$1,0),0)</f>
        <v>17.100000000000001</v>
      </c>
      <c r="AA30" s="3">
        <f>IFERROR(VLOOKUP($C30,学費計算!$C:$R,学費計算!K$1,0),0)</f>
        <v>0</v>
      </c>
      <c r="AB30" s="14"/>
      <c r="AC30" s="18">
        <f t="shared" si="3"/>
        <v>43.5</v>
      </c>
      <c r="AD30" s="24">
        <f t="shared" si="4"/>
        <v>-71.715000000000003</v>
      </c>
      <c r="AE30" s="5">
        <f>IF(AND($C30&gt;=0,$C30&lt;=入力!$Q$38),AE$1,0)</f>
        <v>6</v>
      </c>
      <c r="AF30" s="3"/>
      <c r="AG30" s="3"/>
      <c r="AH30" s="3"/>
      <c r="AI30" s="3"/>
      <c r="AJ30" s="14"/>
      <c r="AK30" s="18">
        <f t="shared" si="7"/>
        <v>6</v>
      </c>
      <c r="AL30" s="24">
        <f t="shared" si="5"/>
        <v>-77.715000000000003</v>
      </c>
      <c r="AM30" s="24">
        <f t="shared" si="6"/>
        <v>-872.06780000000015</v>
      </c>
    </row>
    <row r="31" spans="2:39" x14ac:dyDescent="0.25">
      <c r="B31" s="5">
        <f t="shared" si="8"/>
        <v>44</v>
      </c>
      <c r="C31" s="3">
        <f t="shared" si="9"/>
        <v>18</v>
      </c>
      <c r="D31" s="34"/>
      <c r="E31" s="3">
        <f>IF(親1!D31&lt;=833.3+42*親1!AS31,IF(AND(C31&gt;=0,C31&lt;=3),1.5*12,IF(AND(C31&gt;3,C31&lt;=15),1*12,0)),IF(AND(C31&gt;=0,C31&lt;=15),0.5*12,0))</f>
        <v>0</v>
      </c>
      <c r="F31" s="3"/>
      <c r="G31" s="3"/>
      <c r="H31" s="3"/>
      <c r="I31" s="14"/>
      <c r="J31" s="24">
        <f t="shared" si="0"/>
        <v>0</v>
      </c>
      <c r="K31" s="5"/>
      <c r="L31" s="3"/>
      <c r="M31" s="3">
        <f>IF(AND($C31&gt;=0,$C31&lt;=入力!$Q$38),M$1,0)</f>
        <v>17.820000000000004</v>
      </c>
      <c r="N31" s="3">
        <f>IF(AND($C31&gt;=0,$C31&lt;=入力!$Q$38),N$1,0)</f>
        <v>6.6000000000000005</v>
      </c>
      <c r="O31" s="3">
        <f>IF(AND($C31&gt;=0,$C31&lt;=入力!$Q$38),O$1,0)</f>
        <v>1.6500000000000001</v>
      </c>
      <c r="P31" s="3">
        <f>IF(AND($C31&gt;=0,$C31&lt;=入力!$Q$38),P$1,0)</f>
        <v>1.3200000000000003</v>
      </c>
      <c r="Q31" s="3">
        <f>IF(AND($C31&gt;=0,$C31&lt;=入力!$Q$38),Q$1,0)</f>
        <v>0.82500000000000007</v>
      </c>
      <c r="R31" s="3"/>
      <c r="S31" s="14"/>
      <c r="T31" s="18">
        <f t="shared" si="1"/>
        <v>28.215000000000003</v>
      </c>
      <c r="U31" s="24">
        <f t="shared" si="2"/>
        <v>-28.215000000000003</v>
      </c>
      <c r="V31" s="5"/>
      <c r="W31" s="3">
        <f>IF(AND($C31&gt;=10,$C31&lt;=入力!$Q$38),W$1,0)</f>
        <v>2.4000000000000004</v>
      </c>
      <c r="X31" s="3">
        <f>IFERROR(VLOOKUP($C31,学費計算!$C:$R,学費計算!H$1,0),0)</f>
        <v>0</v>
      </c>
      <c r="Y31" s="3">
        <f>IFERROR(VLOOKUP($C31,学費計算!$C:$R,学費計算!I$1,0),0)</f>
        <v>0</v>
      </c>
      <c r="Z31" s="3">
        <f>IFERROR(VLOOKUP($C31,学費計算!$C:$R,学費計算!J$1,0),0)</f>
        <v>93.225099999999998</v>
      </c>
      <c r="AA31" s="3">
        <f>IFERROR(VLOOKUP($C31,学費計算!$C:$R,学費計算!K$1,0),0)</f>
        <v>72</v>
      </c>
      <c r="AB31" s="14"/>
      <c r="AC31" s="18">
        <f t="shared" si="3"/>
        <v>167.6251</v>
      </c>
      <c r="AD31" s="24">
        <f t="shared" si="4"/>
        <v>-195.84010000000001</v>
      </c>
      <c r="AE31" s="5">
        <f>IF(AND($C31&gt;=0,$C31&lt;=入力!$Q$38),AE$1,0)</f>
        <v>6</v>
      </c>
      <c r="AF31" s="3"/>
      <c r="AG31" s="3"/>
      <c r="AH31" s="3"/>
      <c r="AI31" s="3"/>
      <c r="AJ31" s="14"/>
      <c r="AK31" s="18">
        <f t="shared" si="7"/>
        <v>6</v>
      </c>
      <c r="AL31" s="24">
        <f t="shared" si="5"/>
        <v>-201.84010000000001</v>
      </c>
      <c r="AM31" s="24">
        <f t="shared" si="6"/>
        <v>-1073.9079000000002</v>
      </c>
    </row>
    <row r="32" spans="2:39" x14ac:dyDescent="0.25">
      <c r="B32" s="5">
        <f t="shared" si="8"/>
        <v>45</v>
      </c>
      <c r="C32" s="3">
        <f t="shared" si="9"/>
        <v>19</v>
      </c>
      <c r="D32" s="34"/>
      <c r="E32" s="3">
        <f>IF(親1!D32&lt;=833.3+42*親1!AS32,IF(AND(C32&gt;=0,C32&lt;=3),1.5*12,IF(AND(C32&gt;3,C32&lt;=15),1*12,0)),IF(AND(C32&gt;=0,C32&lt;=15),0.5*12,0))</f>
        <v>0</v>
      </c>
      <c r="F32" s="3"/>
      <c r="G32" s="3"/>
      <c r="H32" s="3"/>
      <c r="I32" s="14"/>
      <c r="J32" s="24">
        <f t="shared" si="0"/>
        <v>0</v>
      </c>
      <c r="K32" s="5"/>
      <c r="L32" s="3"/>
      <c r="M32" s="3">
        <f>IF(AND($C32&gt;=0,$C32&lt;=入力!$Q$38),M$1,0)</f>
        <v>0</v>
      </c>
      <c r="N32" s="3">
        <f>IF(AND($C32&gt;=0,$C32&lt;=入力!$Q$38),N$1,0)</f>
        <v>0</v>
      </c>
      <c r="O32" s="3">
        <f>IF(AND($C32&gt;=0,$C32&lt;=入力!$Q$38),O$1,0)</f>
        <v>0</v>
      </c>
      <c r="P32" s="3">
        <f>IF(AND($C32&gt;=0,$C32&lt;=入力!$Q$38),P$1,0)</f>
        <v>0</v>
      </c>
      <c r="Q32" s="3">
        <f>IF(AND($C32&gt;=0,$C32&lt;=入力!$Q$38),Q$1,0)</f>
        <v>0</v>
      </c>
      <c r="R32" s="3"/>
      <c r="S32" s="14"/>
      <c r="T32" s="18">
        <f t="shared" si="1"/>
        <v>0</v>
      </c>
      <c r="U32" s="24">
        <f t="shared" si="2"/>
        <v>0</v>
      </c>
      <c r="V32" s="5"/>
      <c r="W32" s="3">
        <f>IF(AND($C32&gt;=10,$C32&lt;=入力!$Q$38),W$1,0)</f>
        <v>0</v>
      </c>
      <c r="X32" s="3">
        <f>IFERROR(VLOOKUP($C32,学費計算!$C:$R,学費計算!H$1,0),0)</f>
        <v>0</v>
      </c>
      <c r="Y32" s="3">
        <f>IFERROR(VLOOKUP($C32,学費計算!$C:$R,学費計算!I$1,0),0)</f>
        <v>0</v>
      </c>
      <c r="Z32" s="3">
        <f>IFERROR(VLOOKUP($C32,学費計算!$C:$R,学費計算!J$1,0),0)</f>
        <v>53.58</v>
      </c>
      <c r="AA32" s="3">
        <f>IFERROR(VLOOKUP($C32,学費計算!$C:$R,学費計算!K$1,0),0)</f>
        <v>72</v>
      </c>
      <c r="AB32" s="14"/>
      <c r="AC32" s="18">
        <f t="shared" si="3"/>
        <v>125.58</v>
      </c>
      <c r="AD32" s="24">
        <f t="shared" si="4"/>
        <v>-125.58</v>
      </c>
      <c r="AE32" s="5">
        <f>IF(AND($C32&gt;=0,$C32&lt;=入力!$Q$38),AE$1,0)</f>
        <v>0</v>
      </c>
      <c r="AF32" s="3"/>
      <c r="AG32" s="3"/>
      <c r="AH32" s="3"/>
      <c r="AI32" s="3"/>
      <c r="AJ32" s="14"/>
      <c r="AK32" s="18">
        <f t="shared" si="7"/>
        <v>0</v>
      </c>
      <c r="AL32" s="24">
        <f t="shared" si="5"/>
        <v>-125.58</v>
      </c>
      <c r="AM32" s="24">
        <f t="shared" si="6"/>
        <v>-1199.4879000000001</v>
      </c>
    </row>
    <row r="33" spans="2:39" x14ac:dyDescent="0.25">
      <c r="B33" s="5">
        <f t="shared" si="8"/>
        <v>46</v>
      </c>
      <c r="C33" s="3">
        <f t="shared" si="9"/>
        <v>20</v>
      </c>
      <c r="D33" s="34"/>
      <c r="E33" s="3">
        <f>IF(親1!D33&lt;=833.3+42*親1!AS33,IF(AND(C33&gt;=0,C33&lt;=3),1.5*12,IF(AND(C33&gt;3,C33&lt;=15),1*12,0)),IF(AND(C33&gt;=0,C33&lt;=15),0.5*12,0))</f>
        <v>0</v>
      </c>
      <c r="F33" s="3"/>
      <c r="G33" s="3"/>
      <c r="H33" s="3"/>
      <c r="I33" s="14"/>
      <c r="J33" s="24">
        <f t="shared" si="0"/>
        <v>0</v>
      </c>
      <c r="K33" s="5"/>
      <c r="L33" s="3"/>
      <c r="M33" s="3">
        <f>IF(AND($C33&gt;=0,$C33&lt;=入力!$Q$38),M$1,0)</f>
        <v>0</v>
      </c>
      <c r="N33" s="3">
        <f>IF(AND($C33&gt;=0,$C33&lt;=入力!$Q$38),N$1,0)</f>
        <v>0</v>
      </c>
      <c r="O33" s="3">
        <f>IF(AND($C33&gt;=0,$C33&lt;=入力!$Q$38),O$1,0)</f>
        <v>0</v>
      </c>
      <c r="P33" s="3">
        <f>IF(AND($C33&gt;=0,$C33&lt;=入力!$Q$38),P$1,0)</f>
        <v>0</v>
      </c>
      <c r="Q33" s="3">
        <f>IF(AND($C33&gt;=0,$C33&lt;=入力!$Q$38),Q$1,0)</f>
        <v>0</v>
      </c>
      <c r="R33" s="3"/>
      <c r="S33" s="14"/>
      <c r="T33" s="18">
        <f t="shared" si="1"/>
        <v>0</v>
      </c>
      <c r="U33" s="24">
        <f t="shared" si="2"/>
        <v>0</v>
      </c>
      <c r="V33" s="5"/>
      <c r="W33" s="3">
        <f>IF(AND($C33&gt;=10,$C33&lt;=入力!$Q$38),W$1,0)</f>
        <v>0</v>
      </c>
      <c r="X33" s="3">
        <f>IFERROR(VLOOKUP($C33,学費計算!$C:$R,学費計算!H$1,0),0)</f>
        <v>0</v>
      </c>
      <c r="Y33" s="3">
        <f>IFERROR(VLOOKUP($C33,学費計算!$C:$R,学費計算!I$1,0),0)</f>
        <v>0</v>
      </c>
      <c r="Z33" s="3">
        <f>IFERROR(VLOOKUP($C33,学費計算!$C:$R,学費計算!J$1,0),0)</f>
        <v>53.58</v>
      </c>
      <c r="AA33" s="3">
        <f>IFERROR(VLOOKUP($C33,学費計算!$C:$R,学費計算!K$1,0),0)</f>
        <v>72</v>
      </c>
      <c r="AB33" s="14"/>
      <c r="AC33" s="18">
        <f t="shared" si="3"/>
        <v>125.58</v>
      </c>
      <c r="AD33" s="24">
        <f t="shared" si="4"/>
        <v>-125.58</v>
      </c>
      <c r="AE33" s="5">
        <f>IF(AND($C33&gt;=0,$C33&lt;=入力!$Q$38),AE$1,0)</f>
        <v>0</v>
      </c>
      <c r="AF33" s="3"/>
      <c r="AG33" s="3"/>
      <c r="AH33" s="3"/>
      <c r="AI33" s="3"/>
      <c r="AJ33" s="14"/>
      <c r="AK33" s="18">
        <f t="shared" si="7"/>
        <v>0</v>
      </c>
      <c r="AL33" s="24">
        <f t="shared" si="5"/>
        <v>-125.58</v>
      </c>
      <c r="AM33" s="24">
        <f t="shared" si="6"/>
        <v>-1325.0679</v>
      </c>
    </row>
    <row r="34" spans="2:39" x14ac:dyDescent="0.25">
      <c r="B34" s="5">
        <f t="shared" si="8"/>
        <v>47</v>
      </c>
      <c r="C34" s="3">
        <f t="shared" si="9"/>
        <v>21</v>
      </c>
      <c r="D34" s="34"/>
      <c r="E34" s="3">
        <f>IF(親1!D34&lt;=833.3+42*親1!AS34,IF(AND(C34&gt;=0,C34&lt;=3),1.5*12,IF(AND(C34&gt;3,C34&lt;=15),1*12,0)),IF(AND(C34&gt;=0,C34&lt;=15),0.5*12,0))</f>
        <v>0</v>
      </c>
      <c r="F34" s="3"/>
      <c r="G34" s="3"/>
      <c r="H34" s="3"/>
      <c r="I34" s="14"/>
      <c r="J34" s="24">
        <f t="shared" si="0"/>
        <v>0</v>
      </c>
      <c r="K34" s="5"/>
      <c r="L34" s="3"/>
      <c r="M34" s="3">
        <f>IF(AND($C34&gt;=0,$C34&lt;=入力!$Q$38),M$1,0)</f>
        <v>0</v>
      </c>
      <c r="N34" s="3">
        <f>IF(AND($C34&gt;=0,$C34&lt;=入力!$Q$38),N$1,0)</f>
        <v>0</v>
      </c>
      <c r="O34" s="3">
        <f>IF(AND($C34&gt;=0,$C34&lt;=入力!$Q$38),O$1,0)</f>
        <v>0</v>
      </c>
      <c r="P34" s="3">
        <f>IF(AND($C34&gt;=0,$C34&lt;=入力!$Q$38),P$1,0)</f>
        <v>0</v>
      </c>
      <c r="Q34" s="3">
        <f>IF(AND($C34&gt;=0,$C34&lt;=入力!$Q$38),Q$1,0)</f>
        <v>0</v>
      </c>
      <c r="R34" s="3"/>
      <c r="S34" s="14"/>
      <c r="T34" s="18">
        <f t="shared" si="1"/>
        <v>0</v>
      </c>
      <c r="U34" s="24">
        <f t="shared" si="2"/>
        <v>0</v>
      </c>
      <c r="V34" s="5"/>
      <c r="W34" s="3">
        <f>IF(AND($C34&gt;=10,$C34&lt;=入力!$Q$38),W$1,0)</f>
        <v>0</v>
      </c>
      <c r="X34" s="3">
        <f>IFERROR(VLOOKUP($C34,学費計算!$C:$R,学費計算!H$1,0),0)</f>
        <v>0</v>
      </c>
      <c r="Y34" s="3">
        <f>IFERROR(VLOOKUP($C34,学費計算!$C:$R,学費計算!I$1,0),0)</f>
        <v>0</v>
      </c>
      <c r="Z34" s="3">
        <f>IFERROR(VLOOKUP($C34,学費計算!$C:$R,学費計算!J$1,0),0)</f>
        <v>53.58</v>
      </c>
      <c r="AA34" s="3">
        <f>IFERROR(VLOOKUP($C34,学費計算!$C:$R,学費計算!K$1,0),0)</f>
        <v>72</v>
      </c>
      <c r="AB34" s="14"/>
      <c r="AC34" s="18">
        <f t="shared" si="3"/>
        <v>125.58</v>
      </c>
      <c r="AD34" s="24">
        <f t="shared" si="4"/>
        <v>-125.58</v>
      </c>
      <c r="AE34" s="5">
        <f>IF(AND($C34&gt;=0,$C34&lt;=入力!$Q$38),AE$1,0)</f>
        <v>0</v>
      </c>
      <c r="AF34" s="3"/>
      <c r="AG34" s="3"/>
      <c r="AH34" s="3"/>
      <c r="AI34" s="3"/>
      <c r="AJ34" s="14"/>
      <c r="AK34" s="18">
        <f t="shared" si="7"/>
        <v>0</v>
      </c>
      <c r="AL34" s="24">
        <f t="shared" si="5"/>
        <v>-125.58</v>
      </c>
      <c r="AM34" s="24">
        <f t="shared" si="6"/>
        <v>-1450.6478999999999</v>
      </c>
    </row>
    <row r="35" spans="2:39" x14ac:dyDescent="0.25">
      <c r="B35" s="5">
        <f t="shared" si="8"/>
        <v>48</v>
      </c>
      <c r="C35" s="3">
        <f t="shared" si="9"/>
        <v>22</v>
      </c>
      <c r="D35" s="34"/>
      <c r="E35" s="3">
        <f>IF(親1!D35&lt;=833.3+42*親1!AS35,IF(AND(C35&gt;=0,C35&lt;=3),1.5*12,IF(AND(C35&gt;3,C35&lt;=15),1*12,0)),IF(AND(C35&gt;=0,C35&lt;=15),0.5*12,0))</f>
        <v>0</v>
      </c>
      <c r="F35" s="3"/>
      <c r="G35" s="3"/>
      <c r="H35" s="3"/>
      <c r="I35" s="14"/>
      <c r="J35" s="24">
        <f t="shared" si="0"/>
        <v>0</v>
      </c>
      <c r="K35" s="5"/>
      <c r="L35" s="3"/>
      <c r="M35" s="3">
        <f>IF(AND($C35&gt;=0,$C35&lt;=入力!$Q$38),M$1,0)</f>
        <v>0</v>
      </c>
      <c r="N35" s="3">
        <f>IF(AND($C35&gt;=0,$C35&lt;=入力!$Q$38),N$1,0)</f>
        <v>0</v>
      </c>
      <c r="O35" s="3">
        <f>IF(AND($C35&gt;=0,$C35&lt;=入力!$Q$38),O$1,0)</f>
        <v>0</v>
      </c>
      <c r="P35" s="3">
        <f>IF(AND($C35&gt;=0,$C35&lt;=入力!$Q$38),P$1,0)</f>
        <v>0</v>
      </c>
      <c r="Q35" s="3">
        <f>IF(AND($C35&gt;=0,$C35&lt;=入力!$Q$38),Q$1,0)</f>
        <v>0</v>
      </c>
      <c r="R35" s="3"/>
      <c r="S35" s="14"/>
      <c r="T35" s="18">
        <f t="shared" si="1"/>
        <v>0</v>
      </c>
      <c r="U35" s="24">
        <f t="shared" si="2"/>
        <v>0</v>
      </c>
      <c r="V35" s="5"/>
      <c r="W35" s="3">
        <f>IF(AND($C35&gt;=10,$C35&lt;=入力!$Q$38),W$1,0)</f>
        <v>0</v>
      </c>
      <c r="X35" s="3">
        <f>IFERROR(VLOOKUP($C35,学費計算!$C:$R,学費計算!H$1,0),0)</f>
        <v>0</v>
      </c>
      <c r="Y35" s="3">
        <f>IFERROR(VLOOKUP($C35,学費計算!$C:$R,学費計算!I$1,0),0)</f>
        <v>0</v>
      </c>
      <c r="Z35" s="3">
        <f>IFERROR(VLOOKUP($C35,学費計算!$C:$R,学費計算!J$1,0),0)</f>
        <v>93.225099999999998</v>
      </c>
      <c r="AA35" s="3">
        <f>IFERROR(VLOOKUP($C35,学費計算!$C:$R,学費計算!K$1,0),0)</f>
        <v>72</v>
      </c>
      <c r="AB35" s="14"/>
      <c r="AC35" s="18">
        <f t="shared" si="3"/>
        <v>165.2251</v>
      </c>
      <c r="AD35" s="24">
        <f t="shared" si="4"/>
        <v>-165.2251</v>
      </c>
      <c r="AE35" s="5">
        <f>IF(AND($C35&gt;=0,$C35&lt;=入力!$Q$38),AE$1,0)</f>
        <v>0</v>
      </c>
      <c r="AF35" s="3"/>
      <c r="AG35" s="3"/>
      <c r="AH35" s="3"/>
      <c r="AI35" s="3"/>
      <c r="AJ35" s="14"/>
      <c r="AK35" s="18">
        <f t="shared" si="7"/>
        <v>0</v>
      </c>
      <c r="AL35" s="24">
        <f t="shared" si="5"/>
        <v>-165.2251</v>
      </c>
      <c r="AM35" s="24">
        <f t="shared" si="6"/>
        <v>-1615.873</v>
      </c>
    </row>
    <row r="36" spans="2:39" x14ac:dyDescent="0.25">
      <c r="B36" s="5">
        <f t="shared" si="8"/>
        <v>49</v>
      </c>
      <c r="C36" s="3">
        <f t="shared" si="9"/>
        <v>23</v>
      </c>
      <c r="D36" s="34"/>
      <c r="E36" s="3">
        <f>IF(親1!D36&lt;=833.3+42*親1!AS36,IF(AND(C36&gt;=0,C36&lt;=3),1.5*12,IF(AND(C36&gt;3,C36&lt;=15),1*12,0)),IF(AND(C36&gt;=0,C36&lt;=15),0.5*12,0))</f>
        <v>0</v>
      </c>
      <c r="F36" s="3"/>
      <c r="G36" s="3"/>
      <c r="H36" s="3"/>
      <c r="I36" s="14"/>
      <c r="J36" s="24">
        <f t="shared" si="0"/>
        <v>0</v>
      </c>
      <c r="K36" s="5"/>
      <c r="L36" s="3"/>
      <c r="M36" s="3">
        <f>IF(AND($C36&gt;=0,$C36&lt;=入力!$Q$38),M$1,0)</f>
        <v>0</v>
      </c>
      <c r="N36" s="3">
        <f>IF(AND($C36&gt;=0,$C36&lt;=入力!$Q$38),N$1,0)</f>
        <v>0</v>
      </c>
      <c r="O36" s="3">
        <f>IF(AND($C36&gt;=0,$C36&lt;=入力!$Q$38),O$1,0)</f>
        <v>0</v>
      </c>
      <c r="P36" s="3">
        <f>IF(AND($C36&gt;=0,$C36&lt;=入力!$Q$38),P$1,0)</f>
        <v>0</v>
      </c>
      <c r="Q36" s="3">
        <f>IF(AND($C36&gt;=0,$C36&lt;=入力!$Q$38),Q$1,0)</f>
        <v>0</v>
      </c>
      <c r="R36" s="3"/>
      <c r="S36" s="14"/>
      <c r="T36" s="18">
        <f t="shared" si="1"/>
        <v>0</v>
      </c>
      <c r="U36" s="24">
        <f t="shared" si="2"/>
        <v>0</v>
      </c>
      <c r="V36" s="5"/>
      <c r="W36" s="3">
        <f>IF(AND($C36&gt;=10,$C36&lt;=入力!$Q$38),W$1,0)</f>
        <v>0</v>
      </c>
      <c r="X36" s="3">
        <f>IFERROR(VLOOKUP($C36,学費計算!$C:$R,学費計算!H$1,0),0)</f>
        <v>0</v>
      </c>
      <c r="Y36" s="3">
        <f>IFERROR(VLOOKUP($C36,学費計算!$C:$R,学費計算!I$1,0),0)</f>
        <v>0</v>
      </c>
      <c r="Z36" s="3">
        <f>IFERROR(VLOOKUP($C36,学費計算!$C:$R,学費計算!J$1,0),0)</f>
        <v>53.58</v>
      </c>
      <c r="AA36" s="3">
        <f>IFERROR(VLOOKUP($C36,学費計算!$C:$R,学費計算!K$1,0),0)</f>
        <v>72</v>
      </c>
      <c r="AB36" s="14"/>
      <c r="AC36" s="18">
        <f t="shared" si="3"/>
        <v>125.58</v>
      </c>
      <c r="AD36" s="24">
        <f t="shared" si="4"/>
        <v>-125.58</v>
      </c>
      <c r="AE36" s="5">
        <f>IF(AND($C36&gt;=0,$C36&lt;=入力!$Q$38),AE$1,0)</f>
        <v>0</v>
      </c>
      <c r="AF36" s="3"/>
      <c r="AG36" s="3"/>
      <c r="AH36" s="3"/>
      <c r="AI36" s="3"/>
      <c r="AJ36" s="14"/>
      <c r="AK36" s="18">
        <f t="shared" si="7"/>
        <v>0</v>
      </c>
      <c r="AL36" s="24">
        <f t="shared" si="5"/>
        <v>-125.58</v>
      </c>
      <c r="AM36" s="24">
        <f t="shared" si="6"/>
        <v>-1741.453</v>
      </c>
    </row>
    <row r="37" spans="2:39" x14ac:dyDescent="0.25">
      <c r="B37" s="5">
        <f t="shared" si="8"/>
        <v>50</v>
      </c>
      <c r="C37" s="3">
        <f t="shared" si="9"/>
        <v>24</v>
      </c>
      <c r="D37" s="34"/>
      <c r="E37" s="3">
        <f>IF(親1!D37&lt;=833.3+42*親1!AS37,IF(AND(C37&gt;=0,C37&lt;=3),1.5*12,IF(AND(C37&gt;3,C37&lt;=15),1*12,0)),IF(AND(C37&gt;=0,C37&lt;=15),0.5*12,0))</f>
        <v>0</v>
      </c>
      <c r="F37" s="3"/>
      <c r="G37" s="3"/>
      <c r="H37" s="3"/>
      <c r="I37" s="14"/>
      <c r="J37" s="24">
        <f t="shared" si="0"/>
        <v>0</v>
      </c>
      <c r="K37" s="5"/>
      <c r="L37" s="3"/>
      <c r="M37" s="3">
        <f>IF(AND($C37&gt;=0,$C37&lt;=入力!$Q$38),M$1,0)</f>
        <v>0</v>
      </c>
      <c r="N37" s="3">
        <f>IF(AND($C37&gt;=0,$C37&lt;=入力!$Q$38),N$1,0)</f>
        <v>0</v>
      </c>
      <c r="O37" s="3">
        <f>IF(AND($C37&gt;=0,$C37&lt;=入力!$Q$38),O$1,0)</f>
        <v>0</v>
      </c>
      <c r="P37" s="3">
        <f>IF(AND($C37&gt;=0,$C37&lt;=入力!$Q$38),P$1,0)</f>
        <v>0</v>
      </c>
      <c r="Q37" s="3">
        <f>IF(AND($C37&gt;=0,$C37&lt;=入力!$Q$38),Q$1,0)</f>
        <v>0</v>
      </c>
      <c r="R37" s="3"/>
      <c r="S37" s="14"/>
      <c r="T37" s="18">
        <f t="shared" si="1"/>
        <v>0</v>
      </c>
      <c r="U37" s="24">
        <f t="shared" si="2"/>
        <v>0</v>
      </c>
      <c r="V37" s="5"/>
      <c r="W37" s="3">
        <f>IF(AND($C37&gt;=10,$C37&lt;=入力!$Q$38),W$1,0)</f>
        <v>0</v>
      </c>
      <c r="X37" s="3">
        <f>IFERROR(VLOOKUP($C37,学費計算!$C:$R,学費計算!H$1,0),0)</f>
        <v>0</v>
      </c>
      <c r="Y37" s="3">
        <f>IFERROR(VLOOKUP($C37,学費計算!$C:$R,学費計算!I$1,0),0)</f>
        <v>0</v>
      </c>
      <c r="Z37" s="3">
        <f>IFERROR(VLOOKUP($C37,学費計算!$C:$R,学費計算!J$1,0),0)</f>
        <v>0</v>
      </c>
      <c r="AA37" s="3">
        <f>IFERROR(VLOOKUP($C37,学費計算!$C:$R,学費計算!K$1,0),0)</f>
        <v>0</v>
      </c>
      <c r="AB37" s="14"/>
      <c r="AC37" s="18">
        <f t="shared" si="3"/>
        <v>0</v>
      </c>
      <c r="AD37" s="24">
        <f t="shared" si="4"/>
        <v>0</v>
      </c>
      <c r="AE37" s="5">
        <f>IF(AND($C37&gt;=0,$C37&lt;=入力!$Q$38),AE$1,0)</f>
        <v>0</v>
      </c>
      <c r="AF37" s="3"/>
      <c r="AG37" s="3"/>
      <c r="AH37" s="3"/>
      <c r="AI37" s="3"/>
      <c r="AJ37" s="14"/>
      <c r="AK37" s="18">
        <f t="shared" si="7"/>
        <v>0</v>
      </c>
      <c r="AL37" s="24">
        <f t="shared" si="5"/>
        <v>0</v>
      </c>
      <c r="AM37" s="24">
        <f t="shared" si="6"/>
        <v>-1741.453</v>
      </c>
    </row>
    <row r="38" spans="2:39" x14ac:dyDescent="0.25">
      <c r="B38" s="5">
        <f t="shared" si="8"/>
        <v>51</v>
      </c>
      <c r="C38" s="3">
        <f t="shared" si="9"/>
        <v>25</v>
      </c>
      <c r="D38" s="34"/>
      <c r="E38" s="3">
        <f>IF(親1!D38&lt;=833.3+42*親1!AS38,IF(AND(C38&gt;=0,C38&lt;=3),1.5*12,IF(AND(C38&gt;3,C38&lt;=15),1*12,0)),IF(AND(C38&gt;=0,C38&lt;=15),0.5*12,0))</f>
        <v>0</v>
      </c>
      <c r="F38" s="3"/>
      <c r="G38" s="3"/>
      <c r="H38" s="3"/>
      <c r="I38" s="14"/>
      <c r="J38" s="24">
        <f t="shared" si="0"/>
        <v>0</v>
      </c>
      <c r="K38" s="5"/>
      <c r="L38" s="3"/>
      <c r="M38" s="3">
        <f>IF(AND($C38&gt;=0,$C38&lt;=入力!$Q$38),M$1,0)</f>
        <v>0</v>
      </c>
      <c r="N38" s="3">
        <f>IF(AND($C38&gt;=0,$C38&lt;=入力!$Q$38),N$1,0)</f>
        <v>0</v>
      </c>
      <c r="O38" s="3">
        <f>IF(AND($C38&gt;=0,$C38&lt;=入力!$Q$38),O$1,0)</f>
        <v>0</v>
      </c>
      <c r="P38" s="3">
        <f>IF(AND($C38&gt;=0,$C38&lt;=入力!$Q$38),P$1,0)</f>
        <v>0</v>
      </c>
      <c r="Q38" s="3">
        <f>IF(AND($C38&gt;=0,$C38&lt;=入力!$Q$38),Q$1,0)</f>
        <v>0</v>
      </c>
      <c r="R38" s="3"/>
      <c r="S38" s="14"/>
      <c r="T38" s="18">
        <f t="shared" ref="T38:T69" si="10">SUM(K38:S38)</f>
        <v>0</v>
      </c>
      <c r="U38" s="24">
        <f t="shared" ref="U38:U69" si="11">J38-T38</f>
        <v>0</v>
      </c>
      <c r="V38" s="5"/>
      <c r="W38" s="3">
        <f>IF(AND($C38&gt;=10,$C38&lt;=入力!$Q$38),W$1,0)</f>
        <v>0</v>
      </c>
      <c r="X38" s="3">
        <f>IFERROR(VLOOKUP($C38,学費計算!$C:$R,学費計算!H$1,0),0)</f>
        <v>0</v>
      </c>
      <c r="Y38" s="3">
        <f>IFERROR(VLOOKUP($C38,学費計算!$C:$R,学費計算!I$1,0),0)</f>
        <v>0</v>
      </c>
      <c r="Z38" s="3">
        <f>IFERROR(VLOOKUP($C38,学費計算!$C:$R,学費計算!J$1,0),0)</f>
        <v>0</v>
      </c>
      <c r="AA38" s="3">
        <f>IFERROR(VLOOKUP($C38,学費計算!$C:$R,学費計算!K$1,0),0)</f>
        <v>0</v>
      </c>
      <c r="AB38" s="14"/>
      <c r="AC38" s="18">
        <f t="shared" ref="AC38:AC69" si="12">SUM(V38:AB38)</f>
        <v>0</v>
      </c>
      <c r="AD38" s="24">
        <f t="shared" ref="AD38:AD69" si="13">U38-AC38</f>
        <v>0</v>
      </c>
      <c r="AE38" s="5">
        <f>IF(AND($C38&gt;=0,$C38&lt;=入力!$Q$38),AE$1,0)</f>
        <v>0</v>
      </c>
      <c r="AF38" s="3"/>
      <c r="AG38" s="3"/>
      <c r="AH38" s="3"/>
      <c r="AI38" s="3"/>
      <c r="AJ38" s="14"/>
      <c r="AK38" s="18">
        <f t="shared" si="7"/>
        <v>0</v>
      </c>
      <c r="AL38" s="24">
        <f t="shared" si="5"/>
        <v>0</v>
      </c>
      <c r="AM38" s="24">
        <f t="shared" ref="AM38:AM69" si="14">AL38+AM37</f>
        <v>-1741.453</v>
      </c>
    </row>
    <row r="39" spans="2:39" x14ac:dyDescent="0.25">
      <c r="B39" s="5">
        <f t="shared" si="8"/>
        <v>52</v>
      </c>
      <c r="C39" s="3">
        <f t="shared" si="9"/>
        <v>26</v>
      </c>
      <c r="D39" s="34"/>
      <c r="E39" s="3">
        <f>IF(親1!D39&lt;=833.3+42*親1!AS39,IF(AND(C39&gt;=0,C39&lt;=3),1.5*12,IF(AND(C39&gt;3,C39&lt;=15),1*12,0)),IF(AND(C39&gt;=0,C39&lt;=15),0.5*12,0))</f>
        <v>0</v>
      </c>
      <c r="F39" s="3"/>
      <c r="G39" s="3"/>
      <c r="H39" s="3"/>
      <c r="I39" s="14"/>
      <c r="J39" s="24">
        <f t="shared" si="0"/>
        <v>0</v>
      </c>
      <c r="K39" s="5"/>
      <c r="L39" s="3"/>
      <c r="M39" s="3">
        <f>IF(AND($C39&gt;=0,$C39&lt;=入力!$Q$38),M$1,0)</f>
        <v>0</v>
      </c>
      <c r="N39" s="3">
        <f>IF(AND($C39&gt;=0,$C39&lt;=入力!$Q$38),N$1,0)</f>
        <v>0</v>
      </c>
      <c r="O39" s="3">
        <f>IF(AND($C39&gt;=0,$C39&lt;=入力!$Q$38),O$1,0)</f>
        <v>0</v>
      </c>
      <c r="P39" s="3">
        <f>IF(AND($C39&gt;=0,$C39&lt;=入力!$Q$38),P$1,0)</f>
        <v>0</v>
      </c>
      <c r="Q39" s="3">
        <f>IF(AND($C39&gt;=0,$C39&lt;=入力!$Q$38),Q$1,0)</f>
        <v>0</v>
      </c>
      <c r="R39" s="3"/>
      <c r="S39" s="14"/>
      <c r="T39" s="18">
        <f t="shared" si="10"/>
        <v>0</v>
      </c>
      <c r="U39" s="24">
        <f t="shared" si="11"/>
        <v>0</v>
      </c>
      <c r="V39" s="5"/>
      <c r="W39" s="3">
        <f>IF(AND($C39&gt;=10,$C39&lt;=入力!$Q$38),W$1,0)</f>
        <v>0</v>
      </c>
      <c r="X39" s="3">
        <f>IFERROR(VLOOKUP($C39,学費計算!$C:$R,学費計算!H$1,0),0)</f>
        <v>0</v>
      </c>
      <c r="Y39" s="3">
        <f>IFERROR(VLOOKUP($C39,学費計算!$C:$R,学費計算!I$1,0),0)</f>
        <v>0</v>
      </c>
      <c r="Z39" s="3">
        <f>IFERROR(VLOOKUP($C39,学費計算!$C:$R,学費計算!J$1,0),0)</f>
        <v>0</v>
      </c>
      <c r="AA39" s="3">
        <f>IFERROR(VLOOKUP($C39,学費計算!$C:$R,学費計算!K$1,0),0)</f>
        <v>0</v>
      </c>
      <c r="AB39" s="14"/>
      <c r="AC39" s="18">
        <f t="shared" si="12"/>
        <v>0</v>
      </c>
      <c r="AD39" s="24">
        <f t="shared" si="13"/>
        <v>0</v>
      </c>
      <c r="AE39" s="5">
        <f>IF(AND($C39&gt;=0,$C39&lt;=入力!$Q$38),AE$1,0)</f>
        <v>0</v>
      </c>
      <c r="AF39" s="3"/>
      <c r="AG39" s="3"/>
      <c r="AH39" s="3"/>
      <c r="AI39" s="3"/>
      <c r="AJ39" s="14"/>
      <c r="AK39" s="18">
        <f t="shared" si="7"/>
        <v>0</v>
      </c>
      <c r="AL39" s="24">
        <f t="shared" si="5"/>
        <v>0</v>
      </c>
      <c r="AM39" s="24">
        <f t="shared" si="14"/>
        <v>-1741.453</v>
      </c>
    </row>
    <row r="40" spans="2:39" x14ac:dyDescent="0.25">
      <c r="B40" s="5">
        <f t="shared" ref="B40:B70" si="15">B39+1</f>
        <v>53</v>
      </c>
      <c r="C40" s="3">
        <f t="shared" si="9"/>
        <v>27</v>
      </c>
      <c r="D40" s="34"/>
      <c r="E40" s="3">
        <f>IF(親1!D40&lt;=833.3+42*親1!AS40,IF(AND(C40&gt;=0,C40&lt;=3),1.5*12,IF(AND(C40&gt;3,C40&lt;=15),1*12,0)),IF(AND(C40&gt;=0,C40&lt;=15),0.5*12,0))</f>
        <v>0</v>
      </c>
      <c r="F40" s="3"/>
      <c r="G40" s="3"/>
      <c r="H40" s="3"/>
      <c r="I40" s="14"/>
      <c r="J40" s="24">
        <f t="shared" ref="J40:J70" si="16">SUM(E40:I40)</f>
        <v>0</v>
      </c>
      <c r="K40" s="5"/>
      <c r="L40" s="3"/>
      <c r="M40" s="3">
        <f>IF(AND($C40&gt;=0,$C40&lt;=入力!$Q$38),M$1,0)</f>
        <v>0</v>
      </c>
      <c r="N40" s="3">
        <f>IF(AND($C40&gt;=0,$C40&lt;=入力!$Q$38),N$1,0)</f>
        <v>0</v>
      </c>
      <c r="O40" s="3">
        <f>IF(AND($C40&gt;=0,$C40&lt;=入力!$Q$38),O$1,0)</f>
        <v>0</v>
      </c>
      <c r="P40" s="3">
        <f>IF(AND($C40&gt;=0,$C40&lt;=入力!$Q$38),P$1,0)</f>
        <v>0</v>
      </c>
      <c r="Q40" s="3">
        <f>IF(AND($C40&gt;=0,$C40&lt;=入力!$Q$38),Q$1,0)</f>
        <v>0</v>
      </c>
      <c r="R40" s="3"/>
      <c r="S40" s="14"/>
      <c r="T40" s="18">
        <f t="shared" si="10"/>
        <v>0</v>
      </c>
      <c r="U40" s="24">
        <f t="shared" si="11"/>
        <v>0</v>
      </c>
      <c r="V40" s="5"/>
      <c r="W40" s="3">
        <f>IF(AND($C40&gt;=10,$C40&lt;=入力!$Q$38),W$1,0)</f>
        <v>0</v>
      </c>
      <c r="X40" s="3">
        <f>IFERROR(VLOOKUP($C40,学費計算!$C:$R,学費計算!H$1,0),0)</f>
        <v>0</v>
      </c>
      <c r="Y40" s="3">
        <f>IFERROR(VLOOKUP($C40,学費計算!$C:$R,学費計算!I$1,0),0)</f>
        <v>0</v>
      </c>
      <c r="Z40" s="3">
        <f>IFERROR(VLOOKUP($C40,学費計算!$C:$R,学費計算!J$1,0),0)</f>
        <v>0</v>
      </c>
      <c r="AA40" s="3">
        <f>IFERROR(VLOOKUP($C40,学費計算!$C:$R,学費計算!K$1,0),0)</f>
        <v>0</v>
      </c>
      <c r="AB40" s="14"/>
      <c r="AC40" s="18">
        <f t="shared" si="12"/>
        <v>0</v>
      </c>
      <c r="AD40" s="24">
        <f t="shared" si="13"/>
        <v>0</v>
      </c>
      <c r="AE40" s="5">
        <f>IF(AND($C40&gt;=0,$C40&lt;=入力!$Q$38),AE$1,0)</f>
        <v>0</v>
      </c>
      <c r="AF40" s="3"/>
      <c r="AG40" s="3"/>
      <c r="AH40" s="3"/>
      <c r="AI40" s="3"/>
      <c r="AJ40" s="14"/>
      <c r="AK40" s="18">
        <f t="shared" si="7"/>
        <v>0</v>
      </c>
      <c r="AL40" s="24">
        <f t="shared" si="5"/>
        <v>0</v>
      </c>
      <c r="AM40" s="24">
        <f t="shared" si="14"/>
        <v>-1741.453</v>
      </c>
    </row>
    <row r="41" spans="2:39" x14ac:dyDescent="0.25">
      <c r="B41" s="5">
        <f t="shared" si="15"/>
        <v>54</v>
      </c>
      <c r="C41" s="3">
        <f t="shared" si="9"/>
        <v>28</v>
      </c>
      <c r="D41" s="34"/>
      <c r="E41" s="3">
        <f>IF(親1!D41&lt;=833.3+42*親1!AS41,IF(AND(C41&gt;=0,C41&lt;=3),1.5*12,IF(AND(C41&gt;3,C41&lt;=15),1*12,0)),IF(AND(C41&gt;=0,C41&lt;=15),0.5*12,0))</f>
        <v>0</v>
      </c>
      <c r="F41" s="3"/>
      <c r="G41" s="3"/>
      <c r="H41" s="3"/>
      <c r="I41" s="14"/>
      <c r="J41" s="24">
        <f t="shared" si="16"/>
        <v>0</v>
      </c>
      <c r="K41" s="5"/>
      <c r="L41" s="3"/>
      <c r="M41" s="3">
        <f>IF(AND($C41&gt;=0,$C41&lt;=入力!$Q$38),M$1,0)</f>
        <v>0</v>
      </c>
      <c r="N41" s="3">
        <f>IF(AND($C41&gt;=0,$C41&lt;=入力!$Q$38),N$1,0)</f>
        <v>0</v>
      </c>
      <c r="O41" s="3">
        <f>IF(AND($C41&gt;=0,$C41&lt;=入力!$Q$38),O$1,0)</f>
        <v>0</v>
      </c>
      <c r="P41" s="3">
        <f>IF(AND($C41&gt;=0,$C41&lt;=入力!$Q$38),P$1,0)</f>
        <v>0</v>
      </c>
      <c r="Q41" s="3">
        <f>IF(AND($C41&gt;=0,$C41&lt;=入力!$Q$38),Q$1,0)</f>
        <v>0</v>
      </c>
      <c r="R41" s="3"/>
      <c r="S41" s="14"/>
      <c r="T41" s="18">
        <f t="shared" si="10"/>
        <v>0</v>
      </c>
      <c r="U41" s="24">
        <f t="shared" si="11"/>
        <v>0</v>
      </c>
      <c r="V41" s="5"/>
      <c r="W41" s="3">
        <f>IF(AND($C41&gt;=10,$C41&lt;=入力!$Q$38),W$1,0)</f>
        <v>0</v>
      </c>
      <c r="X41" s="3">
        <f>IFERROR(VLOOKUP($C41,学費計算!$C:$R,学費計算!H$1,0),0)</f>
        <v>0</v>
      </c>
      <c r="Y41" s="3">
        <f>IFERROR(VLOOKUP($C41,学費計算!$C:$R,学費計算!I$1,0),0)</f>
        <v>0</v>
      </c>
      <c r="Z41" s="3">
        <f>IFERROR(VLOOKUP($C41,学費計算!$C:$R,学費計算!J$1,0),0)</f>
        <v>0</v>
      </c>
      <c r="AA41" s="3">
        <f>IFERROR(VLOOKUP($C41,学費計算!$C:$R,学費計算!K$1,0),0)</f>
        <v>0</v>
      </c>
      <c r="AB41" s="14"/>
      <c r="AC41" s="18">
        <f t="shared" si="12"/>
        <v>0</v>
      </c>
      <c r="AD41" s="24">
        <f t="shared" si="13"/>
        <v>0</v>
      </c>
      <c r="AE41" s="5">
        <f>IF(AND($C41&gt;=0,$C41&lt;=入力!$Q$38),AE$1,0)</f>
        <v>0</v>
      </c>
      <c r="AF41" s="3"/>
      <c r="AG41" s="3"/>
      <c r="AH41" s="3"/>
      <c r="AI41" s="3"/>
      <c r="AJ41" s="14"/>
      <c r="AK41" s="18">
        <f t="shared" si="7"/>
        <v>0</v>
      </c>
      <c r="AL41" s="24">
        <f t="shared" si="5"/>
        <v>0</v>
      </c>
      <c r="AM41" s="24">
        <f t="shared" si="14"/>
        <v>-1741.453</v>
      </c>
    </row>
    <row r="42" spans="2:39" x14ac:dyDescent="0.25">
      <c r="B42" s="5">
        <f t="shared" si="15"/>
        <v>55</v>
      </c>
      <c r="C42" s="3">
        <f t="shared" si="9"/>
        <v>29</v>
      </c>
      <c r="D42" s="34"/>
      <c r="E42" s="3">
        <f>IF(親1!D42&lt;=833.3+42*親1!AS42,IF(AND(C42&gt;=0,C42&lt;=3),1.5*12,IF(AND(C42&gt;3,C42&lt;=15),1*12,0)),IF(AND(C42&gt;=0,C42&lt;=15),0.5*12,0))</f>
        <v>0</v>
      </c>
      <c r="F42" s="3"/>
      <c r="G42" s="3"/>
      <c r="H42" s="3"/>
      <c r="I42" s="14"/>
      <c r="J42" s="24">
        <f t="shared" si="16"/>
        <v>0</v>
      </c>
      <c r="K42" s="5"/>
      <c r="L42" s="3"/>
      <c r="M42" s="3">
        <f>IF(AND($C42&gt;=0,$C42&lt;=入力!$Q$38),M$1,0)</f>
        <v>0</v>
      </c>
      <c r="N42" s="3">
        <f>IF(AND($C42&gt;=0,$C42&lt;=入力!$Q$38),N$1,0)</f>
        <v>0</v>
      </c>
      <c r="O42" s="3">
        <f>IF(AND($C42&gt;=0,$C42&lt;=入力!$Q$38),O$1,0)</f>
        <v>0</v>
      </c>
      <c r="P42" s="3">
        <f>IF(AND($C42&gt;=0,$C42&lt;=入力!$Q$38),P$1,0)</f>
        <v>0</v>
      </c>
      <c r="Q42" s="3">
        <f>IF(AND($C42&gt;=0,$C42&lt;=入力!$Q$38),Q$1,0)</f>
        <v>0</v>
      </c>
      <c r="R42" s="3"/>
      <c r="S42" s="14"/>
      <c r="T42" s="18">
        <f t="shared" si="10"/>
        <v>0</v>
      </c>
      <c r="U42" s="24">
        <f t="shared" si="11"/>
        <v>0</v>
      </c>
      <c r="V42" s="5"/>
      <c r="W42" s="3">
        <f>IF(AND($C42&gt;=10,$C42&lt;=入力!$Q$38),W$1,0)</f>
        <v>0</v>
      </c>
      <c r="X42" s="3">
        <f>IFERROR(VLOOKUP($C42,学費計算!$C:$R,学費計算!H$1,0),0)</f>
        <v>0</v>
      </c>
      <c r="Y42" s="3">
        <f>IFERROR(VLOOKUP($C42,学費計算!$C:$R,学費計算!I$1,0),0)</f>
        <v>0</v>
      </c>
      <c r="Z42" s="3">
        <f>IFERROR(VLOOKUP($C42,学費計算!$C:$R,学費計算!J$1,0),0)</f>
        <v>0</v>
      </c>
      <c r="AA42" s="3">
        <f>IFERROR(VLOOKUP($C42,学費計算!$C:$R,学費計算!K$1,0),0)</f>
        <v>0</v>
      </c>
      <c r="AB42" s="14"/>
      <c r="AC42" s="18">
        <f t="shared" si="12"/>
        <v>0</v>
      </c>
      <c r="AD42" s="24">
        <f t="shared" si="13"/>
        <v>0</v>
      </c>
      <c r="AE42" s="5">
        <f>IF(AND($C42&gt;=0,$C42&lt;=入力!$Q$38),AE$1,0)</f>
        <v>0</v>
      </c>
      <c r="AF42" s="3"/>
      <c r="AG42" s="3"/>
      <c r="AH42" s="3"/>
      <c r="AI42" s="3"/>
      <c r="AJ42" s="14"/>
      <c r="AK42" s="18">
        <f t="shared" si="7"/>
        <v>0</v>
      </c>
      <c r="AL42" s="24">
        <f t="shared" si="5"/>
        <v>0</v>
      </c>
      <c r="AM42" s="24">
        <f t="shared" si="14"/>
        <v>-1741.453</v>
      </c>
    </row>
    <row r="43" spans="2:39" x14ac:dyDescent="0.25">
      <c r="B43" s="5">
        <f t="shared" si="15"/>
        <v>56</v>
      </c>
      <c r="C43" s="3">
        <f t="shared" si="9"/>
        <v>30</v>
      </c>
      <c r="D43" s="34"/>
      <c r="E43" s="3">
        <f>IF(親1!D43&lt;=833.3+42*親1!AS43,IF(AND(C43&gt;=0,C43&lt;=3),1.5*12,IF(AND(C43&gt;3,C43&lt;=15),1*12,0)),IF(AND(C43&gt;=0,C43&lt;=15),0.5*12,0))</f>
        <v>0</v>
      </c>
      <c r="F43" s="3"/>
      <c r="G43" s="3"/>
      <c r="H43" s="3"/>
      <c r="I43" s="14"/>
      <c r="J43" s="24">
        <f t="shared" si="16"/>
        <v>0</v>
      </c>
      <c r="K43" s="5"/>
      <c r="L43" s="3"/>
      <c r="M43" s="3">
        <f>IF(AND($C43&gt;=0,$C43&lt;=入力!$Q$38),M$1,0)</f>
        <v>0</v>
      </c>
      <c r="N43" s="3">
        <f>IF(AND($C43&gt;=0,$C43&lt;=入力!$Q$38),N$1,0)</f>
        <v>0</v>
      </c>
      <c r="O43" s="3">
        <f>IF(AND($C43&gt;=0,$C43&lt;=入力!$Q$38),O$1,0)</f>
        <v>0</v>
      </c>
      <c r="P43" s="3">
        <f>IF(AND($C43&gt;=0,$C43&lt;=入力!$Q$38),P$1,0)</f>
        <v>0</v>
      </c>
      <c r="Q43" s="3">
        <f>IF(AND($C43&gt;=0,$C43&lt;=入力!$Q$38),Q$1,0)</f>
        <v>0</v>
      </c>
      <c r="R43" s="3"/>
      <c r="S43" s="14"/>
      <c r="T43" s="18">
        <f t="shared" si="10"/>
        <v>0</v>
      </c>
      <c r="U43" s="24">
        <f t="shared" si="11"/>
        <v>0</v>
      </c>
      <c r="V43" s="5"/>
      <c r="W43" s="3">
        <f>IF(AND($C43&gt;=10,$C43&lt;=入力!$Q$38),W$1,0)</f>
        <v>0</v>
      </c>
      <c r="X43" s="3">
        <f>IFERROR(VLOOKUP($C43,学費計算!$C:$R,学費計算!H$1,0),0)</f>
        <v>0</v>
      </c>
      <c r="Y43" s="3">
        <f>IFERROR(VLOOKUP($C43,学費計算!$C:$R,学費計算!I$1,0),0)</f>
        <v>0</v>
      </c>
      <c r="Z43" s="3">
        <f>IFERROR(VLOOKUP($C43,学費計算!$C:$R,学費計算!J$1,0),0)</f>
        <v>0</v>
      </c>
      <c r="AA43" s="3">
        <f>IFERROR(VLOOKUP($C43,学費計算!$C:$R,学費計算!K$1,0),0)</f>
        <v>0</v>
      </c>
      <c r="AB43" s="14"/>
      <c r="AC43" s="18">
        <f t="shared" si="12"/>
        <v>0</v>
      </c>
      <c r="AD43" s="24">
        <f t="shared" si="13"/>
        <v>0</v>
      </c>
      <c r="AE43" s="5">
        <f>IF(AND($C43&gt;=0,$C43&lt;=入力!$Q$38),AE$1,0)</f>
        <v>0</v>
      </c>
      <c r="AF43" s="3"/>
      <c r="AG43" s="3"/>
      <c r="AH43" s="3"/>
      <c r="AI43" s="3"/>
      <c r="AJ43" s="14"/>
      <c r="AK43" s="18">
        <f t="shared" si="7"/>
        <v>0</v>
      </c>
      <c r="AL43" s="24">
        <f t="shared" si="5"/>
        <v>0</v>
      </c>
      <c r="AM43" s="24">
        <f t="shared" si="14"/>
        <v>-1741.453</v>
      </c>
    </row>
    <row r="44" spans="2:39" x14ac:dyDescent="0.25">
      <c r="B44" s="5">
        <f t="shared" si="15"/>
        <v>57</v>
      </c>
      <c r="C44" s="3">
        <f t="shared" si="9"/>
        <v>31</v>
      </c>
      <c r="D44" s="34"/>
      <c r="E44" s="3">
        <f>IF(親1!D44&lt;=833.3+42*親1!AS44,IF(AND(C44&gt;=0,C44&lt;=3),1.5*12,IF(AND(C44&gt;3,C44&lt;=15),1*12,0)),IF(AND(C44&gt;=0,C44&lt;=15),0.5*12,0))</f>
        <v>0</v>
      </c>
      <c r="F44" s="3"/>
      <c r="G44" s="3"/>
      <c r="H44" s="3"/>
      <c r="I44" s="14"/>
      <c r="J44" s="24">
        <f t="shared" si="16"/>
        <v>0</v>
      </c>
      <c r="K44" s="5"/>
      <c r="L44" s="3"/>
      <c r="M44" s="3">
        <f>IF(AND($C44&gt;=0,$C44&lt;=入力!$Q$38),M$1,0)</f>
        <v>0</v>
      </c>
      <c r="N44" s="3">
        <f>IF(AND($C44&gt;=0,$C44&lt;=入力!$Q$38),N$1,0)</f>
        <v>0</v>
      </c>
      <c r="O44" s="3">
        <f>IF(AND($C44&gt;=0,$C44&lt;=入力!$Q$38),O$1,0)</f>
        <v>0</v>
      </c>
      <c r="P44" s="3">
        <f>IF(AND($C44&gt;=0,$C44&lt;=入力!$Q$38),P$1,0)</f>
        <v>0</v>
      </c>
      <c r="Q44" s="3">
        <f>IF(AND($C44&gt;=0,$C44&lt;=入力!$Q$38),Q$1,0)</f>
        <v>0</v>
      </c>
      <c r="R44" s="3"/>
      <c r="S44" s="14"/>
      <c r="T44" s="18">
        <f t="shared" si="10"/>
        <v>0</v>
      </c>
      <c r="U44" s="24">
        <f t="shared" si="11"/>
        <v>0</v>
      </c>
      <c r="V44" s="5"/>
      <c r="W44" s="3">
        <f>IF(AND($C44&gt;=10,$C44&lt;=入力!$Q$38),W$1,0)</f>
        <v>0</v>
      </c>
      <c r="X44" s="3">
        <f>IFERROR(VLOOKUP($C44,学費計算!$C:$R,学費計算!H$1,0),0)</f>
        <v>0</v>
      </c>
      <c r="Y44" s="3">
        <f>IFERROR(VLOOKUP($C44,学費計算!$C:$R,学費計算!I$1,0),0)</f>
        <v>0</v>
      </c>
      <c r="Z44" s="3">
        <f>IFERROR(VLOOKUP($C44,学費計算!$C:$R,学費計算!J$1,0),0)</f>
        <v>0</v>
      </c>
      <c r="AA44" s="3">
        <f>IFERROR(VLOOKUP($C44,学費計算!$C:$R,学費計算!K$1,0),0)</f>
        <v>0</v>
      </c>
      <c r="AB44" s="14"/>
      <c r="AC44" s="18">
        <f t="shared" si="12"/>
        <v>0</v>
      </c>
      <c r="AD44" s="24">
        <f t="shared" si="13"/>
        <v>0</v>
      </c>
      <c r="AE44" s="5">
        <f>IF(AND($C44&gt;=0,$C44&lt;=入力!$Q$38),AE$1,0)</f>
        <v>0</v>
      </c>
      <c r="AF44" s="3"/>
      <c r="AG44" s="3"/>
      <c r="AH44" s="3"/>
      <c r="AI44" s="3"/>
      <c r="AJ44" s="14"/>
      <c r="AK44" s="18">
        <f t="shared" si="7"/>
        <v>0</v>
      </c>
      <c r="AL44" s="24">
        <f t="shared" si="5"/>
        <v>0</v>
      </c>
      <c r="AM44" s="24">
        <f t="shared" si="14"/>
        <v>-1741.453</v>
      </c>
    </row>
    <row r="45" spans="2:39" x14ac:dyDescent="0.25">
      <c r="B45" s="5">
        <f t="shared" si="15"/>
        <v>58</v>
      </c>
      <c r="C45" s="3">
        <f t="shared" si="9"/>
        <v>32</v>
      </c>
      <c r="D45" s="34"/>
      <c r="E45" s="3">
        <f>IF(親1!D45&lt;=833.3+42*親1!AS45,IF(AND(C45&gt;=0,C45&lt;=3),1.5*12,IF(AND(C45&gt;3,C45&lt;=15),1*12,0)),IF(AND(C45&gt;=0,C45&lt;=15),0.5*12,0))</f>
        <v>0</v>
      </c>
      <c r="F45" s="3"/>
      <c r="G45" s="3"/>
      <c r="H45" s="3"/>
      <c r="I45" s="14"/>
      <c r="J45" s="24">
        <f t="shared" si="16"/>
        <v>0</v>
      </c>
      <c r="K45" s="5"/>
      <c r="L45" s="3"/>
      <c r="M45" s="3">
        <f>IF(AND($C45&gt;=0,$C45&lt;=入力!$Q$38),M$1,0)</f>
        <v>0</v>
      </c>
      <c r="N45" s="3">
        <f>IF(AND($C45&gt;=0,$C45&lt;=入力!$Q$38),N$1,0)</f>
        <v>0</v>
      </c>
      <c r="O45" s="3">
        <f>IF(AND($C45&gt;=0,$C45&lt;=入力!$Q$38),O$1,0)</f>
        <v>0</v>
      </c>
      <c r="P45" s="3">
        <f>IF(AND($C45&gt;=0,$C45&lt;=入力!$Q$38),P$1,0)</f>
        <v>0</v>
      </c>
      <c r="Q45" s="3">
        <f>IF(AND($C45&gt;=0,$C45&lt;=入力!$Q$38),Q$1,0)</f>
        <v>0</v>
      </c>
      <c r="R45" s="3"/>
      <c r="S45" s="14"/>
      <c r="T45" s="18">
        <f t="shared" si="10"/>
        <v>0</v>
      </c>
      <c r="U45" s="24">
        <f t="shared" si="11"/>
        <v>0</v>
      </c>
      <c r="V45" s="5"/>
      <c r="W45" s="3">
        <f>IF(AND($C45&gt;=10,$C45&lt;=入力!$Q$38),W$1,0)</f>
        <v>0</v>
      </c>
      <c r="X45" s="3">
        <f>IFERROR(VLOOKUP($C45,学費計算!$C:$R,学費計算!H$1,0),0)</f>
        <v>0</v>
      </c>
      <c r="Y45" s="3">
        <f>IFERROR(VLOOKUP($C45,学費計算!$C:$R,学費計算!I$1,0),0)</f>
        <v>0</v>
      </c>
      <c r="Z45" s="3">
        <f>IFERROR(VLOOKUP($C45,学費計算!$C:$R,学費計算!J$1,0),0)</f>
        <v>0</v>
      </c>
      <c r="AA45" s="3">
        <f>IFERROR(VLOOKUP($C45,学費計算!$C:$R,学費計算!K$1,0),0)</f>
        <v>0</v>
      </c>
      <c r="AB45" s="14"/>
      <c r="AC45" s="18">
        <f t="shared" si="12"/>
        <v>0</v>
      </c>
      <c r="AD45" s="24">
        <f t="shared" si="13"/>
        <v>0</v>
      </c>
      <c r="AE45" s="5">
        <f>IF(AND($C45&gt;=0,$C45&lt;=入力!$Q$38),AE$1,0)</f>
        <v>0</v>
      </c>
      <c r="AF45" s="3"/>
      <c r="AG45" s="3"/>
      <c r="AH45" s="3"/>
      <c r="AI45" s="3"/>
      <c r="AJ45" s="14"/>
      <c r="AK45" s="18">
        <f t="shared" si="7"/>
        <v>0</v>
      </c>
      <c r="AL45" s="24">
        <f t="shared" si="5"/>
        <v>0</v>
      </c>
      <c r="AM45" s="24">
        <f t="shared" si="14"/>
        <v>-1741.453</v>
      </c>
    </row>
    <row r="46" spans="2:39" x14ac:dyDescent="0.25">
      <c r="B46" s="5">
        <f t="shared" si="15"/>
        <v>59</v>
      </c>
      <c r="C46" s="3">
        <f t="shared" si="9"/>
        <v>33</v>
      </c>
      <c r="D46" s="34"/>
      <c r="E46" s="3">
        <f>IF(親1!D46&lt;=833.3+42*親1!AS46,IF(AND(C46&gt;=0,C46&lt;=3),1.5*12,IF(AND(C46&gt;3,C46&lt;=15),1*12,0)),IF(AND(C46&gt;=0,C46&lt;=15),0.5*12,0))</f>
        <v>0</v>
      </c>
      <c r="F46" s="3"/>
      <c r="G46" s="3"/>
      <c r="H46" s="3"/>
      <c r="I46" s="14"/>
      <c r="J46" s="24">
        <f t="shared" si="16"/>
        <v>0</v>
      </c>
      <c r="K46" s="5"/>
      <c r="L46" s="3"/>
      <c r="M46" s="3">
        <f>IF(AND($C46&gt;=0,$C46&lt;=入力!$Q$38),M$1,0)</f>
        <v>0</v>
      </c>
      <c r="N46" s="3">
        <f>IF(AND($C46&gt;=0,$C46&lt;=入力!$Q$38),N$1,0)</f>
        <v>0</v>
      </c>
      <c r="O46" s="3">
        <f>IF(AND($C46&gt;=0,$C46&lt;=入力!$Q$38),O$1,0)</f>
        <v>0</v>
      </c>
      <c r="P46" s="3">
        <f>IF(AND($C46&gt;=0,$C46&lt;=入力!$Q$38),P$1,0)</f>
        <v>0</v>
      </c>
      <c r="Q46" s="3">
        <f>IF(AND($C46&gt;=0,$C46&lt;=入力!$Q$38),Q$1,0)</f>
        <v>0</v>
      </c>
      <c r="R46" s="3"/>
      <c r="S46" s="14"/>
      <c r="T46" s="18">
        <f t="shared" si="10"/>
        <v>0</v>
      </c>
      <c r="U46" s="24">
        <f t="shared" si="11"/>
        <v>0</v>
      </c>
      <c r="V46" s="5"/>
      <c r="W46" s="3">
        <f>IF(AND($C46&gt;=10,$C46&lt;=入力!$Q$38),W$1,0)</f>
        <v>0</v>
      </c>
      <c r="X46" s="3">
        <f>IFERROR(VLOOKUP($C46,学費計算!$C:$R,学費計算!H$1,0),0)</f>
        <v>0</v>
      </c>
      <c r="Y46" s="3">
        <f>IFERROR(VLOOKUP($C46,学費計算!$C:$R,学費計算!I$1,0),0)</f>
        <v>0</v>
      </c>
      <c r="Z46" s="3">
        <f>IFERROR(VLOOKUP($C46,学費計算!$C:$R,学費計算!J$1,0),0)</f>
        <v>0</v>
      </c>
      <c r="AA46" s="3">
        <f>IFERROR(VLOOKUP($C46,学費計算!$C:$R,学費計算!K$1,0),0)</f>
        <v>0</v>
      </c>
      <c r="AB46" s="14"/>
      <c r="AC46" s="18">
        <f t="shared" si="12"/>
        <v>0</v>
      </c>
      <c r="AD46" s="24">
        <f t="shared" si="13"/>
        <v>0</v>
      </c>
      <c r="AE46" s="5">
        <f>IF(AND($C46&gt;=0,$C46&lt;=入力!$Q$38),AE$1,0)</f>
        <v>0</v>
      </c>
      <c r="AF46" s="3"/>
      <c r="AG46" s="3"/>
      <c r="AH46" s="3"/>
      <c r="AI46" s="3"/>
      <c r="AJ46" s="14"/>
      <c r="AK46" s="18">
        <f t="shared" si="7"/>
        <v>0</v>
      </c>
      <c r="AL46" s="24">
        <f t="shared" si="5"/>
        <v>0</v>
      </c>
      <c r="AM46" s="24">
        <f t="shared" si="14"/>
        <v>-1741.453</v>
      </c>
    </row>
    <row r="47" spans="2:39" x14ac:dyDescent="0.25">
      <c r="B47" s="5">
        <f t="shared" si="15"/>
        <v>60</v>
      </c>
      <c r="C47" s="3">
        <f t="shared" si="9"/>
        <v>34</v>
      </c>
      <c r="D47" s="34"/>
      <c r="E47" s="3">
        <f>IF(親1!D47&lt;=833.3+42*親1!AS47,IF(AND(C47&gt;=0,C47&lt;=3),1.5*12,IF(AND(C47&gt;3,C47&lt;=15),1*12,0)),IF(AND(C47&gt;=0,C47&lt;=15),0.5*12,0))</f>
        <v>0</v>
      </c>
      <c r="F47" s="3"/>
      <c r="G47" s="3"/>
      <c r="H47" s="3"/>
      <c r="I47" s="14"/>
      <c r="J47" s="24">
        <f t="shared" si="16"/>
        <v>0</v>
      </c>
      <c r="K47" s="5"/>
      <c r="L47" s="3"/>
      <c r="M47" s="3">
        <f>IF(AND($C47&gt;=0,$C47&lt;=入力!$Q$38),M$1,0)</f>
        <v>0</v>
      </c>
      <c r="N47" s="3">
        <f>IF(AND($C47&gt;=0,$C47&lt;=入力!$Q$38),N$1,0)</f>
        <v>0</v>
      </c>
      <c r="O47" s="3">
        <f>IF(AND($C47&gt;=0,$C47&lt;=入力!$Q$38),O$1,0)</f>
        <v>0</v>
      </c>
      <c r="P47" s="3">
        <f>IF(AND($C47&gt;=0,$C47&lt;=入力!$Q$38),P$1,0)</f>
        <v>0</v>
      </c>
      <c r="Q47" s="3">
        <f>IF(AND($C47&gt;=0,$C47&lt;=入力!$Q$38),Q$1,0)</f>
        <v>0</v>
      </c>
      <c r="R47" s="3"/>
      <c r="S47" s="14"/>
      <c r="T47" s="18">
        <f t="shared" si="10"/>
        <v>0</v>
      </c>
      <c r="U47" s="24">
        <f t="shared" si="11"/>
        <v>0</v>
      </c>
      <c r="V47" s="5"/>
      <c r="W47" s="3">
        <f>IF(AND($C47&gt;=10,$C47&lt;=入力!$Q$38),W$1,0)</f>
        <v>0</v>
      </c>
      <c r="X47" s="3">
        <f>IFERROR(VLOOKUP($C47,学費計算!$C:$R,学費計算!H$1,0),0)</f>
        <v>0</v>
      </c>
      <c r="Y47" s="3">
        <f>IFERROR(VLOOKUP($C47,学費計算!$C:$R,学費計算!I$1,0),0)</f>
        <v>0</v>
      </c>
      <c r="Z47" s="3">
        <f>IFERROR(VLOOKUP($C47,学費計算!$C:$R,学費計算!J$1,0),0)</f>
        <v>0</v>
      </c>
      <c r="AA47" s="3">
        <f>IFERROR(VLOOKUP($C47,学費計算!$C:$R,学費計算!K$1,0),0)</f>
        <v>0</v>
      </c>
      <c r="AB47" s="14"/>
      <c r="AC47" s="18">
        <f t="shared" si="12"/>
        <v>0</v>
      </c>
      <c r="AD47" s="24">
        <f t="shared" si="13"/>
        <v>0</v>
      </c>
      <c r="AE47" s="5">
        <f>IF(AND($C47&gt;=0,$C47&lt;=入力!$Q$38),AE$1,0)</f>
        <v>0</v>
      </c>
      <c r="AF47" s="3"/>
      <c r="AG47" s="3"/>
      <c r="AH47" s="3"/>
      <c r="AI47" s="3"/>
      <c r="AJ47" s="14"/>
      <c r="AK47" s="18">
        <f t="shared" si="7"/>
        <v>0</v>
      </c>
      <c r="AL47" s="24">
        <f t="shared" si="5"/>
        <v>0</v>
      </c>
      <c r="AM47" s="24">
        <f t="shared" si="14"/>
        <v>-1741.453</v>
      </c>
    </row>
    <row r="48" spans="2:39" x14ac:dyDescent="0.25">
      <c r="B48" s="5">
        <f t="shared" si="15"/>
        <v>61</v>
      </c>
      <c r="C48" s="3">
        <f t="shared" si="9"/>
        <v>35</v>
      </c>
      <c r="D48" s="34"/>
      <c r="E48" s="3">
        <f>IF(親1!D48&lt;=833.3+42*親1!AS48,IF(AND(C48&gt;=0,C48&lt;=3),1.5*12,IF(AND(C48&gt;3,C48&lt;=15),1*12,0)),IF(AND(C48&gt;=0,C48&lt;=15),0.5*12,0))</f>
        <v>0</v>
      </c>
      <c r="F48" s="3"/>
      <c r="G48" s="3"/>
      <c r="H48" s="3"/>
      <c r="I48" s="14"/>
      <c r="J48" s="24">
        <f t="shared" si="16"/>
        <v>0</v>
      </c>
      <c r="K48" s="5"/>
      <c r="L48" s="3"/>
      <c r="M48" s="3">
        <f>IF(AND($C48&gt;=0,$C48&lt;=入力!$Q$38),M$1,0)</f>
        <v>0</v>
      </c>
      <c r="N48" s="3">
        <f>IF(AND($C48&gt;=0,$C48&lt;=入力!$Q$38),N$1,0)</f>
        <v>0</v>
      </c>
      <c r="O48" s="3">
        <f>IF(AND($C48&gt;=0,$C48&lt;=入力!$Q$38),O$1,0)</f>
        <v>0</v>
      </c>
      <c r="P48" s="3">
        <f>IF(AND($C48&gt;=0,$C48&lt;=入力!$Q$38),P$1,0)</f>
        <v>0</v>
      </c>
      <c r="Q48" s="3">
        <f>IF(AND($C48&gt;=0,$C48&lt;=入力!$Q$38),Q$1,0)</f>
        <v>0</v>
      </c>
      <c r="R48" s="3"/>
      <c r="S48" s="14"/>
      <c r="T48" s="18">
        <f t="shared" si="10"/>
        <v>0</v>
      </c>
      <c r="U48" s="24">
        <f t="shared" si="11"/>
        <v>0</v>
      </c>
      <c r="V48" s="5"/>
      <c r="W48" s="3">
        <f>IF(AND($C48&gt;=10,$C48&lt;=入力!$Q$38),W$1,0)</f>
        <v>0</v>
      </c>
      <c r="X48" s="3">
        <f>IFERROR(VLOOKUP($C48,学費計算!$C:$R,学費計算!H$1,0),0)</f>
        <v>0</v>
      </c>
      <c r="Y48" s="3">
        <f>IFERROR(VLOOKUP($C48,学費計算!$C:$R,学費計算!I$1,0),0)</f>
        <v>0</v>
      </c>
      <c r="Z48" s="3">
        <f>IFERROR(VLOOKUP($C48,学費計算!$C:$R,学費計算!J$1,0),0)</f>
        <v>0</v>
      </c>
      <c r="AA48" s="3">
        <f>IFERROR(VLOOKUP($C48,学費計算!$C:$R,学費計算!K$1,0),0)</f>
        <v>0</v>
      </c>
      <c r="AB48" s="14"/>
      <c r="AC48" s="18">
        <f t="shared" si="12"/>
        <v>0</v>
      </c>
      <c r="AD48" s="24">
        <f t="shared" si="13"/>
        <v>0</v>
      </c>
      <c r="AE48" s="5">
        <f>IF(AND($C48&gt;=0,$C48&lt;=入力!$Q$38),AE$1,0)</f>
        <v>0</v>
      </c>
      <c r="AF48" s="3"/>
      <c r="AG48" s="3"/>
      <c r="AH48" s="3"/>
      <c r="AI48" s="3"/>
      <c r="AJ48" s="14"/>
      <c r="AK48" s="18">
        <f t="shared" si="7"/>
        <v>0</v>
      </c>
      <c r="AL48" s="24">
        <f t="shared" si="5"/>
        <v>0</v>
      </c>
      <c r="AM48" s="24">
        <f t="shared" si="14"/>
        <v>-1741.453</v>
      </c>
    </row>
    <row r="49" spans="2:39" x14ac:dyDescent="0.25">
      <c r="B49" s="5">
        <f t="shared" si="15"/>
        <v>62</v>
      </c>
      <c r="C49" s="3">
        <f t="shared" si="9"/>
        <v>36</v>
      </c>
      <c r="D49" s="34"/>
      <c r="E49" s="3">
        <f>IF(親1!D49&lt;=833.3+42*親1!AS49,IF(AND(C49&gt;=0,C49&lt;=3),1.5*12,IF(AND(C49&gt;3,C49&lt;=15),1*12,0)),IF(AND(C49&gt;=0,C49&lt;=15),0.5*12,0))</f>
        <v>0</v>
      </c>
      <c r="F49" s="3"/>
      <c r="G49" s="3"/>
      <c r="H49" s="3"/>
      <c r="I49" s="14"/>
      <c r="J49" s="24">
        <f t="shared" si="16"/>
        <v>0</v>
      </c>
      <c r="K49" s="5"/>
      <c r="L49" s="3"/>
      <c r="M49" s="3">
        <f>IF(AND($C49&gt;=0,$C49&lt;=入力!$Q$38),M$1,0)</f>
        <v>0</v>
      </c>
      <c r="N49" s="3">
        <f>IF(AND($C49&gt;=0,$C49&lt;=入力!$Q$38),N$1,0)</f>
        <v>0</v>
      </c>
      <c r="O49" s="3">
        <f>IF(AND($C49&gt;=0,$C49&lt;=入力!$Q$38),O$1,0)</f>
        <v>0</v>
      </c>
      <c r="P49" s="3">
        <f>IF(AND($C49&gt;=0,$C49&lt;=入力!$Q$38),P$1,0)</f>
        <v>0</v>
      </c>
      <c r="Q49" s="3">
        <f>IF(AND($C49&gt;=0,$C49&lt;=入力!$Q$38),Q$1,0)</f>
        <v>0</v>
      </c>
      <c r="R49" s="3"/>
      <c r="S49" s="14"/>
      <c r="T49" s="18">
        <f t="shared" si="10"/>
        <v>0</v>
      </c>
      <c r="U49" s="24">
        <f t="shared" si="11"/>
        <v>0</v>
      </c>
      <c r="V49" s="5"/>
      <c r="W49" s="3">
        <f>IF(AND($C49&gt;=10,$C49&lt;=入力!$Q$38),W$1,0)</f>
        <v>0</v>
      </c>
      <c r="X49" s="3">
        <f>IFERROR(VLOOKUP($C49,学費計算!$C:$R,学費計算!H$1,0),0)</f>
        <v>0</v>
      </c>
      <c r="Y49" s="3">
        <f>IFERROR(VLOOKUP($C49,学費計算!$C:$R,学費計算!I$1,0),0)</f>
        <v>0</v>
      </c>
      <c r="Z49" s="3">
        <f>IFERROR(VLOOKUP($C49,学費計算!$C:$R,学費計算!J$1,0),0)</f>
        <v>0</v>
      </c>
      <c r="AA49" s="3">
        <f>IFERROR(VLOOKUP($C49,学費計算!$C:$R,学費計算!K$1,0),0)</f>
        <v>0</v>
      </c>
      <c r="AB49" s="14"/>
      <c r="AC49" s="18">
        <f t="shared" si="12"/>
        <v>0</v>
      </c>
      <c r="AD49" s="24">
        <f t="shared" si="13"/>
        <v>0</v>
      </c>
      <c r="AE49" s="5">
        <f>IF(AND($C49&gt;=0,$C49&lt;=入力!$Q$38),AE$1,0)</f>
        <v>0</v>
      </c>
      <c r="AF49" s="3"/>
      <c r="AG49" s="3"/>
      <c r="AH49" s="3"/>
      <c r="AI49" s="3"/>
      <c r="AJ49" s="14"/>
      <c r="AK49" s="18">
        <f t="shared" si="7"/>
        <v>0</v>
      </c>
      <c r="AL49" s="24">
        <f t="shared" si="5"/>
        <v>0</v>
      </c>
      <c r="AM49" s="24">
        <f t="shared" si="14"/>
        <v>-1741.453</v>
      </c>
    </row>
    <row r="50" spans="2:39" x14ac:dyDescent="0.25">
      <c r="B50" s="5">
        <f t="shared" si="15"/>
        <v>63</v>
      </c>
      <c r="C50" s="3">
        <f t="shared" si="9"/>
        <v>37</v>
      </c>
      <c r="D50" s="34"/>
      <c r="E50" s="3">
        <f>IF(親1!D50&lt;=833.3+42*親1!AS50,IF(AND(C50&gt;=0,C50&lt;=3),1.5*12,IF(AND(C50&gt;3,C50&lt;=15),1*12,0)),IF(AND(C50&gt;=0,C50&lt;=15),0.5*12,0))</f>
        <v>0</v>
      </c>
      <c r="F50" s="3"/>
      <c r="G50" s="3"/>
      <c r="H50" s="3"/>
      <c r="I50" s="14"/>
      <c r="J50" s="24">
        <f t="shared" si="16"/>
        <v>0</v>
      </c>
      <c r="K50" s="5"/>
      <c r="L50" s="3"/>
      <c r="M50" s="3">
        <f>IF(AND($C50&gt;=0,$C50&lt;=入力!$Q$38),M$1,0)</f>
        <v>0</v>
      </c>
      <c r="N50" s="3">
        <f>IF(AND($C50&gt;=0,$C50&lt;=入力!$Q$38),N$1,0)</f>
        <v>0</v>
      </c>
      <c r="O50" s="3">
        <f>IF(AND($C50&gt;=0,$C50&lt;=入力!$Q$38),O$1,0)</f>
        <v>0</v>
      </c>
      <c r="P50" s="3">
        <f>IF(AND($C50&gt;=0,$C50&lt;=入力!$Q$38),P$1,0)</f>
        <v>0</v>
      </c>
      <c r="Q50" s="3">
        <f>IF(AND($C50&gt;=0,$C50&lt;=入力!$Q$38),Q$1,0)</f>
        <v>0</v>
      </c>
      <c r="R50" s="3"/>
      <c r="S50" s="14"/>
      <c r="T50" s="18">
        <f t="shared" si="10"/>
        <v>0</v>
      </c>
      <c r="U50" s="24">
        <f t="shared" si="11"/>
        <v>0</v>
      </c>
      <c r="V50" s="5"/>
      <c r="W50" s="3">
        <f>IF(AND($C50&gt;=10,$C50&lt;=入力!$Q$38),W$1,0)</f>
        <v>0</v>
      </c>
      <c r="X50" s="3">
        <f>IFERROR(VLOOKUP($C50,学費計算!$C:$R,学費計算!H$1,0),0)</f>
        <v>0</v>
      </c>
      <c r="Y50" s="3">
        <f>IFERROR(VLOOKUP($C50,学費計算!$C:$R,学費計算!I$1,0),0)</f>
        <v>0</v>
      </c>
      <c r="Z50" s="3">
        <f>IFERROR(VLOOKUP($C50,学費計算!$C:$R,学費計算!J$1,0),0)</f>
        <v>0</v>
      </c>
      <c r="AA50" s="3">
        <f>IFERROR(VLOOKUP($C50,学費計算!$C:$R,学費計算!K$1,0),0)</f>
        <v>0</v>
      </c>
      <c r="AB50" s="14"/>
      <c r="AC50" s="18">
        <f t="shared" si="12"/>
        <v>0</v>
      </c>
      <c r="AD50" s="24">
        <f t="shared" si="13"/>
        <v>0</v>
      </c>
      <c r="AE50" s="5">
        <f>IF(AND($C50&gt;=0,$C50&lt;=入力!$Q$38),AE$1,0)</f>
        <v>0</v>
      </c>
      <c r="AF50" s="3"/>
      <c r="AG50" s="3"/>
      <c r="AH50" s="3"/>
      <c r="AI50" s="3"/>
      <c r="AJ50" s="14"/>
      <c r="AK50" s="18">
        <f t="shared" si="7"/>
        <v>0</v>
      </c>
      <c r="AL50" s="24">
        <f t="shared" si="5"/>
        <v>0</v>
      </c>
      <c r="AM50" s="24">
        <f t="shared" si="14"/>
        <v>-1741.453</v>
      </c>
    </row>
    <row r="51" spans="2:39" x14ac:dyDescent="0.25">
      <c r="B51" s="5">
        <f t="shared" si="15"/>
        <v>64</v>
      </c>
      <c r="C51" s="3">
        <f t="shared" si="9"/>
        <v>38</v>
      </c>
      <c r="D51" s="34"/>
      <c r="E51" s="3">
        <f>IF(親1!D51&lt;=833.3+42*親1!AS51,IF(AND(C51&gt;=0,C51&lt;=3),1.5*12,IF(AND(C51&gt;3,C51&lt;=15),1*12,0)),IF(AND(C51&gt;=0,C51&lt;=15),0.5*12,0))</f>
        <v>0</v>
      </c>
      <c r="F51" s="3"/>
      <c r="G51" s="3"/>
      <c r="H51" s="3"/>
      <c r="I51" s="14"/>
      <c r="J51" s="24">
        <f t="shared" si="16"/>
        <v>0</v>
      </c>
      <c r="K51" s="5"/>
      <c r="L51" s="3"/>
      <c r="M51" s="3">
        <f>IF(AND($C51&gt;=0,$C51&lt;=入力!$Q$38),M$1,0)</f>
        <v>0</v>
      </c>
      <c r="N51" s="3">
        <f>IF(AND($C51&gt;=0,$C51&lt;=入力!$Q$38),N$1,0)</f>
        <v>0</v>
      </c>
      <c r="O51" s="3">
        <f>IF(AND($C51&gt;=0,$C51&lt;=入力!$Q$38),O$1,0)</f>
        <v>0</v>
      </c>
      <c r="P51" s="3">
        <f>IF(AND($C51&gt;=0,$C51&lt;=入力!$Q$38),P$1,0)</f>
        <v>0</v>
      </c>
      <c r="Q51" s="3">
        <f>IF(AND($C51&gt;=0,$C51&lt;=入力!$Q$38),Q$1,0)</f>
        <v>0</v>
      </c>
      <c r="R51" s="3"/>
      <c r="S51" s="14"/>
      <c r="T51" s="18">
        <f t="shared" si="10"/>
        <v>0</v>
      </c>
      <c r="U51" s="24">
        <f t="shared" si="11"/>
        <v>0</v>
      </c>
      <c r="V51" s="5"/>
      <c r="W51" s="3">
        <f>IF(AND($C51&gt;=10,$C51&lt;=入力!$Q$38),W$1,0)</f>
        <v>0</v>
      </c>
      <c r="X51" s="3">
        <f>IFERROR(VLOOKUP($C51,学費計算!$C:$R,学費計算!H$1,0),0)</f>
        <v>0</v>
      </c>
      <c r="Y51" s="3">
        <f>IFERROR(VLOOKUP($C51,学費計算!$C:$R,学費計算!I$1,0),0)</f>
        <v>0</v>
      </c>
      <c r="Z51" s="3">
        <f>IFERROR(VLOOKUP($C51,学費計算!$C:$R,学費計算!J$1,0),0)</f>
        <v>0</v>
      </c>
      <c r="AA51" s="3">
        <f>IFERROR(VLOOKUP($C51,学費計算!$C:$R,学費計算!K$1,0),0)</f>
        <v>0</v>
      </c>
      <c r="AB51" s="14"/>
      <c r="AC51" s="18">
        <f t="shared" si="12"/>
        <v>0</v>
      </c>
      <c r="AD51" s="24">
        <f t="shared" si="13"/>
        <v>0</v>
      </c>
      <c r="AE51" s="5">
        <f>IF(AND($C51&gt;=0,$C51&lt;=入力!$Q$38),AE$1,0)</f>
        <v>0</v>
      </c>
      <c r="AF51" s="3"/>
      <c r="AG51" s="3"/>
      <c r="AH51" s="3"/>
      <c r="AI51" s="3"/>
      <c r="AJ51" s="14"/>
      <c r="AK51" s="18">
        <f t="shared" si="7"/>
        <v>0</v>
      </c>
      <c r="AL51" s="24">
        <f t="shared" si="5"/>
        <v>0</v>
      </c>
      <c r="AM51" s="24">
        <f t="shared" si="14"/>
        <v>-1741.453</v>
      </c>
    </row>
    <row r="52" spans="2:39" x14ac:dyDescent="0.25">
      <c r="B52" s="5">
        <f t="shared" si="15"/>
        <v>65</v>
      </c>
      <c r="C52" s="3">
        <f t="shared" si="9"/>
        <v>39</v>
      </c>
      <c r="D52" s="34"/>
      <c r="E52" s="3">
        <f>IF(親1!D52&lt;=833.3+42*親1!AS52,IF(AND(C52&gt;=0,C52&lt;=3),1.5*12,IF(AND(C52&gt;3,C52&lt;=15),1*12,0)),IF(AND(C52&gt;=0,C52&lt;=15),0.5*12,0))</f>
        <v>0</v>
      </c>
      <c r="F52" s="3"/>
      <c r="G52" s="3"/>
      <c r="H52" s="3"/>
      <c r="I52" s="14"/>
      <c r="J52" s="24">
        <f t="shared" si="16"/>
        <v>0</v>
      </c>
      <c r="K52" s="5"/>
      <c r="L52" s="3"/>
      <c r="M52" s="3">
        <f>IF(AND($C52&gt;=0,$C52&lt;=入力!$Q$38),M$1,0)</f>
        <v>0</v>
      </c>
      <c r="N52" s="3">
        <f>IF(AND($C52&gt;=0,$C52&lt;=入力!$Q$38),N$1,0)</f>
        <v>0</v>
      </c>
      <c r="O52" s="3">
        <f>IF(AND($C52&gt;=0,$C52&lt;=入力!$Q$38),O$1,0)</f>
        <v>0</v>
      </c>
      <c r="P52" s="3">
        <f>IF(AND($C52&gt;=0,$C52&lt;=入力!$Q$38),P$1,0)</f>
        <v>0</v>
      </c>
      <c r="Q52" s="3">
        <f>IF(AND($C52&gt;=0,$C52&lt;=入力!$Q$38),Q$1,0)</f>
        <v>0</v>
      </c>
      <c r="R52" s="3"/>
      <c r="S52" s="14"/>
      <c r="T52" s="18">
        <f t="shared" si="10"/>
        <v>0</v>
      </c>
      <c r="U52" s="24">
        <f t="shared" si="11"/>
        <v>0</v>
      </c>
      <c r="V52" s="5"/>
      <c r="W52" s="3">
        <f>IF(AND($C52&gt;=10,$C52&lt;=入力!$Q$38),W$1,0)</f>
        <v>0</v>
      </c>
      <c r="X52" s="3">
        <f>IFERROR(VLOOKUP($C52,学費計算!$C:$R,学費計算!H$1,0),0)</f>
        <v>0</v>
      </c>
      <c r="Y52" s="3">
        <f>IFERROR(VLOOKUP($C52,学費計算!$C:$R,学費計算!I$1,0),0)</f>
        <v>0</v>
      </c>
      <c r="Z52" s="3">
        <f>IFERROR(VLOOKUP($C52,学費計算!$C:$R,学費計算!J$1,0),0)</f>
        <v>0</v>
      </c>
      <c r="AA52" s="3">
        <f>IFERROR(VLOOKUP($C52,学費計算!$C:$R,学費計算!K$1,0),0)</f>
        <v>0</v>
      </c>
      <c r="AB52" s="14"/>
      <c r="AC52" s="18">
        <f t="shared" si="12"/>
        <v>0</v>
      </c>
      <c r="AD52" s="24">
        <f t="shared" si="13"/>
        <v>0</v>
      </c>
      <c r="AE52" s="5">
        <f>IF(AND($C52&gt;=0,$C52&lt;=入力!$Q$38),AE$1,0)</f>
        <v>0</v>
      </c>
      <c r="AF52" s="3"/>
      <c r="AG52" s="3"/>
      <c r="AH52" s="3"/>
      <c r="AI52" s="3"/>
      <c r="AJ52" s="14"/>
      <c r="AK52" s="18">
        <f t="shared" si="7"/>
        <v>0</v>
      </c>
      <c r="AL52" s="24">
        <f t="shared" si="5"/>
        <v>0</v>
      </c>
      <c r="AM52" s="24">
        <f t="shared" si="14"/>
        <v>-1741.453</v>
      </c>
    </row>
    <row r="53" spans="2:39" x14ac:dyDescent="0.25">
      <c r="B53" s="5">
        <f t="shared" si="15"/>
        <v>66</v>
      </c>
      <c r="C53" s="3">
        <f t="shared" si="9"/>
        <v>40</v>
      </c>
      <c r="D53" s="34"/>
      <c r="E53" s="3">
        <f>IF(親1!D53&lt;=833.3+42*親1!AS53,IF(AND(C53&gt;=0,C53&lt;=3),1.5*12,IF(AND(C53&gt;3,C53&lt;=15),1*12,0)),IF(AND(C53&gt;=0,C53&lt;=15),0.5*12,0))</f>
        <v>0</v>
      </c>
      <c r="F53" s="3"/>
      <c r="G53" s="3"/>
      <c r="H53" s="3"/>
      <c r="I53" s="14"/>
      <c r="J53" s="24">
        <f t="shared" si="16"/>
        <v>0</v>
      </c>
      <c r="K53" s="5"/>
      <c r="L53" s="3"/>
      <c r="M53" s="3">
        <f>IF(AND($C53&gt;=0,$C53&lt;=入力!$Q$38),M$1,0)</f>
        <v>0</v>
      </c>
      <c r="N53" s="3">
        <f>IF(AND($C53&gt;=0,$C53&lt;=入力!$Q$38),N$1,0)</f>
        <v>0</v>
      </c>
      <c r="O53" s="3">
        <f>IF(AND($C53&gt;=0,$C53&lt;=入力!$Q$38),O$1,0)</f>
        <v>0</v>
      </c>
      <c r="P53" s="3">
        <f>IF(AND($C53&gt;=0,$C53&lt;=入力!$Q$38),P$1,0)</f>
        <v>0</v>
      </c>
      <c r="Q53" s="3">
        <f>IF(AND($C53&gt;=0,$C53&lt;=入力!$Q$38),Q$1,0)</f>
        <v>0</v>
      </c>
      <c r="R53" s="3"/>
      <c r="S53" s="14"/>
      <c r="T53" s="18">
        <f t="shared" si="10"/>
        <v>0</v>
      </c>
      <c r="U53" s="24">
        <f t="shared" si="11"/>
        <v>0</v>
      </c>
      <c r="V53" s="5"/>
      <c r="W53" s="3">
        <f>IF(AND($C53&gt;=10,$C53&lt;=入力!$Q$38),W$1,0)</f>
        <v>0</v>
      </c>
      <c r="X53" s="3">
        <f>IFERROR(VLOOKUP($C53,学費計算!$C:$R,学費計算!H$1,0),0)</f>
        <v>0</v>
      </c>
      <c r="Y53" s="3">
        <f>IFERROR(VLOOKUP($C53,学費計算!$C:$R,学費計算!I$1,0),0)</f>
        <v>0</v>
      </c>
      <c r="Z53" s="3">
        <f>IFERROR(VLOOKUP($C53,学費計算!$C:$R,学費計算!J$1,0),0)</f>
        <v>0</v>
      </c>
      <c r="AA53" s="3">
        <f>IFERROR(VLOOKUP($C53,学費計算!$C:$R,学費計算!K$1,0),0)</f>
        <v>0</v>
      </c>
      <c r="AB53" s="14"/>
      <c r="AC53" s="18">
        <f t="shared" si="12"/>
        <v>0</v>
      </c>
      <c r="AD53" s="24">
        <f t="shared" si="13"/>
        <v>0</v>
      </c>
      <c r="AE53" s="5">
        <f>IF(AND($C53&gt;=0,$C53&lt;=入力!$Q$38),AE$1,0)</f>
        <v>0</v>
      </c>
      <c r="AF53" s="3"/>
      <c r="AG53" s="3"/>
      <c r="AH53" s="3"/>
      <c r="AI53" s="3"/>
      <c r="AJ53" s="14"/>
      <c r="AK53" s="18">
        <f t="shared" si="7"/>
        <v>0</v>
      </c>
      <c r="AL53" s="24">
        <f t="shared" si="5"/>
        <v>0</v>
      </c>
      <c r="AM53" s="24">
        <f t="shared" si="14"/>
        <v>-1741.453</v>
      </c>
    </row>
    <row r="54" spans="2:39" x14ac:dyDescent="0.25">
      <c r="B54" s="5">
        <f t="shared" si="15"/>
        <v>67</v>
      </c>
      <c r="C54" s="3">
        <f t="shared" si="9"/>
        <v>41</v>
      </c>
      <c r="D54" s="34"/>
      <c r="E54" s="3">
        <f>IF(親1!D54&lt;=833.3+42*親1!AS54,IF(AND(C54&gt;=0,C54&lt;=3),1.5*12,IF(AND(C54&gt;3,C54&lt;=15),1*12,0)),IF(AND(C54&gt;=0,C54&lt;=15),0.5*12,0))</f>
        <v>0</v>
      </c>
      <c r="F54" s="3"/>
      <c r="G54" s="3"/>
      <c r="H54" s="3"/>
      <c r="I54" s="14"/>
      <c r="J54" s="24">
        <f t="shared" si="16"/>
        <v>0</v>
      </c>
      <c r="K54" s="5"/>
      <c r="L54" s="3"/>
      <c r="M54" s="3">
        <f>IF(AND($C54&gt;=0,$C54&lt;=入力!$Q$38),M$1,0)</f>
        <v>0</v>
      </c>
      <c r="N54" s="3">
        <f>IF(AND($C54&gt;=0,$C54&lt;=入力!$Q$38),N$1,0)</f>
        <v>0</v>
      </c>
      <c r="O54" s="3">
        <f>IF(AND($C54&gt;=0,$C54&lt;=入力!$Q$38),O$1,0)</f>
        <v>0</v>
      </c>
      <c r="P54" s="3">
        <f>IF(AND($C54&gt;=0,$C54&lt;=入力!$Q$38),P$1,0)</f>
        <v>0</v>
      </c>
      <c r="Q54" s="3">
        <f>IF(AND($C54&gt;=0,$C54&lt;=入力!$Q$38),Q$1,0)</f>
        <v>0</v>
      </c>
      <c r="R54" s="3"/>
      <c r="S54" s="14"/>
      <c r="T54" s="18">
        <f t="shared" si="10"/>
        <v>0</v>
      </c>
      <c r="U54" s="24">
        <f t="shared" si="11"/>
        <v>0</v>
      </c>
      <c r="V54" s="5"/>
      <c r="W54" s="3">
        <f>IF(AND($C54&gt;=10,$C54&lt;=入力!$Q$38),W$1,0)</f>
        <v>0</v>
      </c>
      <c r="X54" s="3">
        <f>IFERROR(VLOOKUP($C54,学費計算!$C:$R,学費計算!H$1,0),0)</f>
        <v>0</v>
      </c>
      <c r="Y54" s="3">
        <f>IFERROR(VLOOKUP($C54,学費計算!$C:$R,学費計算!I$1,0),0)</f>
        <v>0</v>
      </c>
      <c r="Z54" s="3">
        <f>IFERROR(VLOOKUP($C54,学費計算!$C:$R,学費計算!J$1,0),0)</f>
        <v>0</v>
      </c>
      <c r="AA54" s="3">
        <f>IFERROR(VLOOKUP($C54,学費計算!$C:$R,学費計算!K$1,0),0)</f>
        <v>0</v>
      </c>
      <c r="AB54" s="14"/>
      <c r="AC54" s="18">
        <f t="shared" si="12"/>
        <v>0</v>
      </c>
      <c r="AD54" s="24">
        <f t="shared" si="13"/>
        <v>0</v>
      </c>
      <c r="AE54" s="5">
        <f>IF(AND($C54&gt;=0,$C54&lt;=入力!$Q$38),AE$1,0)</f>
        <v>0</v>
      </c>
      <c r="AF54" s="3"/>
      <c r="AG54" s="3"/>
      <c r="AH54" s="3"/>
      <c r="AI54" s="3"/>
      <c r="AJ54" s="14"/>
      <c r="AK54" s="18">
        <f t="shared" si="7"/>
        <v>0</v>
      </c>
      <c r="AL54" s="24">
        <f t="shared" si="5"/>
        <v>0</v>
      </c>
      <c r="AM54" s="24">
        <f t="shared" si="14"/>
        <v>-1741.453</v>
      </c>
    </row>
    <row r="55" spans="2:39" x14ac:dyDescent="0.25">
      <c r="B55" s="5">
        <f t="shared" si="15"/>
        <v>68</v>
      </c>
      <c r="C55" s="3">
        <f t="shared" si="9"/>
        <v>42</v>
      </c>
      <c r="D55" s="34"/>
      <c r="E55" s="3">
        <f>IF(親1!D55&lt;=833.3+42*親1!AS55,IF(AND(C55&gt;=0,C55&lt;=3),1.5*12,IF(AND(C55&gt;3,C55&lt;=15),1*12,0)),IF(AND(C55&gt;=0,C55&lt;=15),0.5*12,0))</f>
        <v>0</v>
      </c>
      <c r="F55" s="3"/>
      <c r="G55" s="3"/>
      <c r="H55" s="3"/>
      <c r="I55" s="14"/>
      <c r="J55" s="24">
        <f t="shared" si="16"/>
        <v>0</v>
      </c>
      <c r="K55" s="5"/>
      <c r="L55" s="3"/>
      <c r="M55" s="3">
        <f>IF(AND($C55&gt;=0,$C55&lt;=入力!$Q$38),M$1,0)</f>
        <v>0</v>
      </c>
      <c r="N55" s="3">
        <f>IF(AND($C55&gt;=0,$C55&lt;=入力!$Q$38),N$1,0)</f>
        <v>0</v>
      </c>
      <c r="O55" s="3">
        <f>IF(AND($C55&gt;=0,$C55&lt;=入力!$Q$38),O$1,0)</f>
        <v>0</v>
      </c>
      <c r="P55" s="3">
        <f>IF(AND($C55&gt;=0,$C55&lt;=入力!$Q$38),P$1,0)</f>
        <v>0</v>
      </c>
      <c r="Q55" s="3">
        <f>IF(AND($C55&gt;=0,$C55&lt;=入力!$Q$38),Q$1,0)</f>
        <v>0</v>
      </c>
      <c r="R55" s="3"/>
      <c r="S55" s="14"/>
      <c r="T55" s="18">
        <f t="shared" si="10"/>
        <v>0</v>
      </c>
      <c r="U55" s="24">
        <f t="shared" si="11"/>
        <v>0</v>
      </c>
      <c r="V55" s="5"/>
      <c r="W55" s="3">
        <f>IF(AND($C55&gt;=10,$C55&lt;=入力!$Q$38),W$1,0)</f>
        <v>0</v>
      </c>
      <c r="X55" s="3">
        <f>IFERROR(VLOOKUP($C55,学費計算!$C:$R,学費計算!H$1,0),0)</f>
        <v>0</v>
      </c>
      <c r="Y55" s="3">
        <f>IFERROR(VLOOKUP($C55,学費計算!$C:$R,学費計算!I$1,0),0)</f>
        <v>0</v>
      </c>
      <c r="Z55" s="3">
        <f>IFERROR(VLOOKUP($C55,学費計算!$C:$R,学費計算!J$1,0),0)</f>
        <v>0</v>
      </c>
      <c r="AA55" s="3">
        <f>IFERROR(VLOOKUP($C55,学費計算!$C:$R,学費計算!K$1,0),0)</f>
        <v>0</v>
      </c>
      <c r="AB55" s="14"/>
      <c r="AC55" s="18">
        <f t="shared" si="12"/>
        <v>0</v>
      </c>
      <c r="AD55" s="24">
        <f t="shared" si="13"/>
        <v>0</v>
      </c>
      <c r="AE55" s="5">
        <f>IF(AND($C55&gt;=0,$C55&lt;=入力!$Q$38),AE$1,0)</f>
        <v>0</v>
      </c>
      <c r="AF55" s="3"/>
      <c r="AG55" s="3"/>
      <c r="AH55" s="3"/>
      <c r="AI55" s="3"/>
      <c r="AJ55" s="14"/>
      <c r="AK55" s="18">
        <f t="shared" si="7"/>
        <v>0</v>
      </c>
      <c r="AL55" s="24">
        <f t="shared" si="5"/>
        <v>0</v>
      </c>
      <c r="AM55" s="24">
        <f t="shared" si="14"/>
        <v>-1741.453</v>
      </c>
    </row>
    <row r="56" spans="2:39" x14ac:dyDescent="0.25">
      <c r="B56" s="5">
        <f t="shared" si="15"/>
        <v>69</v>
      </c>
      <c r="C56" s="3">
        <f t="shared" si="9"/>
        <v>43</v>
      </c>
      <c r="D56" s="34"/>
      <c r="E56" s="3">
        <f>IF(親1!D56&lt;=833.3+42*親1!AS56,IF(AND(C56&gt;=0,C56&lt;=3),1.5*12,IF(AND(C56&gt;3,C56&lt;=15),1*12,0)),IF(AND(C56&gt;=0,C56&lt;=15),0.5*12,0))</f>
        <v>0</v>
      </c>
      <c r="F56" s="3"/>
      <c r="G56" s="3"/>
      <c r="H56" s="3"/>
      <c r="I56" s="14"/>
      <c r="J56" s="24">
        <f t="shared" si="16"/>
        <v>0</v>
      </c>
      <c r="K56" s="5"/>
      <c r="L56" s="3"/>
      <c r="M56" s="3">
        <f>IF(AND($C56&gt;=0,$C56&lt;=入力!$Q$38),M$1,0)</f>
        <v>0</v>
      </c>
      <c r="N56" s="3">
        <f>IF(AND($C56&gt;=0,$C56&lt;=入力!$Q$38),N$1,0)</f>
        <v>0</v>
      </c>
      <c r="O56" s="3">
        <f>IF(AND($C56&gt;=0,$C56&lt;=入力!$Q$38),O$1,0)</f>
        <v>0</v>
      </c>
      <c r="P56" s="3">
        <f>IF(AND($C56&gt;=0,$C56&lt;=入力!$Q$38),P$1,0)</f>
        <v>0</v>
      </c>
      <c r="Q56" s="3">
        <f>IF(AND($C56&gt;=0,$C56&lt;=入力!$Q$38),Q$1,0)</f>
        <v>0</v>
      </c>
      <c r="R56" s="3"/>
      <c r="S56" s="14"/>
      <c r="T56" s="18">
        <f t="shared" si="10"/>
        <v>0</v>
      </c>
      <c r="U56" s="24">
        <f t="shared" si="11"/>
        <v>0</v>
      </c>
      <c r="V56" s="5"/>
      <c r="W56" s="3">
        <f>IF(AND($C56&gt;=10,$C56&lt;=入力!$Q$38),W$1,0)</f>
        <v>0</v>
      </c>
      <c r="X56" s="3">
        <f>IFERROR(VLOOKUP($C56,学費計算!$C:$R,学費計算!H$1,0),0)</f>
        <v>0</v>
      </c>
      <c r="Y56" s="3">
        <f>IFERROR(VLOOKUP($C56,学費計算!$C:$R,学費計算!I$1,0),0)</f>
        <v>0</v>
      </c>
      <c r="Z56" s="3">
        <f>IFERROR(VLOOKUP($C56,学費計算!$C:$R,学費計算!J$1,0),0)</f>
        <v>0</v>
      </c>
      <c r="AA56" s="3">
        <f>IFERROR(VLOOKUP($C56,学費計算!$C:$R,学費計算!K$1,0),0)</f>
        <v>0</v>
      </c>
      <c r="AB56" s="14"/>
      <c r="AC56" s="18">
        <f t="shared" si="12"/>
        <v>0</v>
      </c>
      <c r="AD56" s="24">
        <f t="shared" si="13"/>
        <v>0</v>
      </c>
      <c r="AE56" s="5">
        <f>IF(AND($C56&gt;=0,$C56&lt;=入力!$Q$38),AE$1,0)</f>
        <v>0</v>
      </c>
      <c r="AF56" s="3"/>
      <c r="AG56" s="3"/>
      <c r="AH56" s="3"/>
      <c r="AI56" s="3"/>
      <c r="AJ56" s="14"/>
      <c r="AK56" s="18">
        <f t="shared" si="7"/>
        <v>0</v>
      </c>
      <c r="AL56" s="24">
        <f t="shared" si="5"/>
        <v>0</v>
      </c>
      <c r="AM56" s="24">
        <f t="shared" si="14"/>
        <v>-1741.453</v>
      </c>
    </row>
    <row r="57" spans="2:39" x14ac:dyDescent="0.25">
      <c r="B57" s="5">
        <f t="shared" si="15"/>
        <v>70</v>
      </c>
      <c r="C57" s="3">
        <f t="shared" si="9"/>
        <v>44</v>
      </c>
      <c r="D57" s="34"/>
      <c r="E57" s="3">
        <f>IF(親1!D57&lt;=833.3+42*親1!AS57,IF(AND(C57&gt;=0,C57&lt;=3),1.5*12,IF(AND(C57&gt;3,C57&lt;=15),1*12,0)),IF(AND(C57&gt;=0,C57&lt;=15),0.5*12,0))</f>
        <v>0</v>
      </c>
      <c r="F57" s="3"/>
      <c r="G57" s="3"/>
      <c r="H57" s="3"/>
      <c r="I57" s="14"/>
      <c r="J57" s="24">
        <f t="shared" si="16"/>
        <v>0</v>
      </c>
      <c r="K57" s="5"/>
      <c r="L57" s="3"/>
      <c r="M57" s="3">
        <f>IF(AND($C57&gt;=0,$C57&lt;=入力!$Q$38),M$1,0)</f>
        <v>0</v>
      </c>
      <c r="N57" s="3">
        <f>IF(AND($C57&gt;=0,$C57&lt;=入力!$Q$38),N$1,0)</f>
        <v>0</v>
      </c>
      <c r="O57" s="3">
        <f>IF(AND($C57&gt;=0,$C57&lt;=入力!$Q$38),O$1,0)</f>
        <v>0</v>
      </c>
      <c r="P57" s="3">
        <f>IF(AND($C57&gt;=0,$C57&lt;=入力!$Q$38),P$1,0)</f>
        <v>0</v>
      </c>
      <c r="Q57" s="3">
        <f>IF(AND($C57&gt;=0,$C57&lt;=入力!$Q$38),Q$1,0)</f>
        <v>0</v>
      </c>
      <c r="R57" s="3"/>
      <c r="S57" s="14"/>
      <c r="T57" s="18">
        <f t="shared" si="10"/>
        <v>0</v>
      </c>
      <c r="U57" s="24">
        <f t="shared" si="11"/>
        <v>0</v>
      </c>
      <c r="V57" s="5"/>
      <c r="W57" s="3">
        <f>IF(AND($C57&gt;=10,$C57&lt;=入力!$Q$38),W$1,0)</f>
        <v>0</v>
      </c>
      <c r="X57" s="3">
        <f>IFERROR(VLOOKUP($C57,学費計算!$C:$R,学費計算!H$1,0),0)</f>
        <v>0</v>
      </c>
      <c r="Y57" s="3">
        <f>IFERROR(VLOOKUP($C57,学費計算!$C:$R,学費計算!I$1,0),0)</f>
        <v>0</v>
      </c>
      <c r="Z57" s="3">
        <f>IFERROR(VLOOKUP($C57,学費計算!$C:$R,学費計算!J$1,0),0)</f>
        <v>0</v>
      </c>
      <c r="AA57" s="3">
        <f>IFERROR(VLOOKUP($C57,学費計算!$C:$R,学費計算!K$1,0),0)</f>
        <v>0</v>
      </c>
      <c r="AB57" s="14"/>
      <c r="AC57" s="18">
        <f t="shared" si="12"/>
        <v>0</v>
      </c>
      <c r="AD57" s="24">
        <f t="shared" si="13"/>
        <v>0</v>
      </c>
      <c r="AE57" s="5">
        <f>IF(AND($C57&gt;=0,$C57&lt;=入力!$Q$38),AE$1,0)</f>
        <v>0</v>
      </c>
      <c r="AF57" s="3"/>
      <c r="AG57" s="3"/>
      <c r="AH57" s="3"/>
      <c r="AI57" s="3"/>
      <c r="AJ57" s="14"/>
      <c r="AK57" s="18">
        <f t="shared" si="7"/>
        <v>0</v>
      </c>
      <c r="AL57" s="24">
        <f t="shared" si="5"/>
        <v>0</v>
      </c>
      <c r="AM57" s="24">
        <f t="shared" si="14"/>
        <v>-1741.453</v>
      </c>
    </row>
    <row r="58" spans="2:39" x14ac:dyDescent="0.25">
      <c r="B58" s="5">
        <f t="shared" si="15"/>
        <v>71</v>
      </c>
      <c r="C58" s="3">
        <f t="shared" si="9"/>
        <v>45</v>
      </c>
      <c r="D58" s="34"/>
      <c r="E58" s="3">
        <f>IF(親1!D58&lt;=833.3+42*親1!AS58,IF(AND(C58&gt;=0,C58&lt;=3),1.5*12,IF(AND(C58&gt;3,C58&lt;=15),1*12,0)),IF(AND(C58&gt;=0,C58&lt;=15),0.5*12,0))</f>
        <v>0</v>
      </c>
      <c r="F58" s="3"/>
      <c r="G58" s="3"/>
      <c r="H58" s="3"/>
      <c r="I58" s="14"/>
      <c r="J58" s="24">
        <f t="shared" si="16"/>
        <v>0</v>
      </c>
      <c r="K58" s="5"/>
      <c r="L58" s="3"/>
      <c r="M58" s="3">
        <f>IF(AND($C58&gt;=0,$C58&lt;=入力!$Q$38),M$1,0)</f>
        <v>0</v>
      </c>
      <c r="N58" s="3">
        <f>IF(AND($C58&gt;=0,$C58&lt;=入力!$Q$38),N$1,0)</f>
        <v>0</v>
      </c>
      <c r="O58" s="3">
        <f>IF(AND($C58&gt;=0,$C58&lt;=入力!$Q$38),O$1,0)</f>
        <v>0</v>
      </c>
      <c r="P58" s="3">
        <f>IF(AND($C58&gt;=0,$C58&lt;=入力!$Q$38),P$1,0)</f>
        <v>0</v>
      </c>
      <c r="Q58" s="3">
        <f>IF(AND($C58&gt;=0,$C58&lt;=入力!$Q$38),Q$1,0)</f>
        <v>0</v>
      </c>
      <c r="R58" s="3"/>
      <c r="S58" s="14"/>
      <c r="T58" s="18">
        <f t="shared" si="10"/>
        <v>0</v>
      </c>
      <c r="U58" s="24">
        <f t="shared" si="11"/>
        <v>0</v>
      </c>
      <c r="V58" s="5"/>
      <c r="W58" s="3">
        <f>IF(AND($C58&gt;=10,$C58&lt;=入力!$Q$38),W$1,0)</f>
        <v>0</v>
      </c>
      <c r="X58" s="3">
        <f>IFERROR(VLOOKUP($C58,学費計算!$C:$R,学費計算!H$1,0),0)</f>
        <v>0</v>
      </c>
      <c r="Y58" s="3">
        <f>IFERROR(VLOOKUP($C58,学費計算!$C:$R,学費計算!I$1,0),0)</f>
        <v>0</v>
      </c>
      <c r="Z58" s="3">
        <f>IFERROR(VLOOKUP($C58,学費計算!$C:$R,学費計算!J$1,0),0)</f>
        <v>0</v>
      </c>
      <c r="AA58" s="3">
        <f>IFERROR(VLOOKUP($C58,学費計算!$C:$R,学費計算!K$1,0),0)</f>
        <v>0</v>
      </c>
      <c r="AB58" s="14"/>
      <c r="AC58" s="18">
        <f t="shared" si="12"/>
        <v>0</v>
      </c>
      <c r="AD58" s="24">
        <f t="shared" si="13"/>
        <v>0</v>
      </c>
      <c r="AE58" s="5">
        <f>IF(AND($C58&gt;=0,$C58&lt;=入力!$Q$38),AE$1,0)</f>
        <v>0</v>
      </c>
      <c r="AF58" s="3"/>
      <c r="AG58" s="3"/>
      <c r="AH58" s="3"/>
      <c r="AI58" s="3"/>
      <c r="AJ58" s="14"/>
      <c r="AK58" s="18">
        <f t="shared" si="7"/>
        <v>0</v>
      </c>
      <c r="AL58" s="24">
        <f t="shared" si="5"/>
        <v>0</v>
      </c>
      <c r="AM58" s="24">
        <f t="shared" si="14"/>
        <v>-1741.453</v>
      </c>
    </row>
    <row r="59" spans="2:39" x14ac:dyDescent="0.25">
      <c r="B59" s="5">
        <f t="shared" si="15"/>
        <v>72</v>
      </c>
      <c r="C59" s="3">
        <f t="shared" si="9"/>
        <v>46</v>
      </c>
      <c r="D59" s="34"/>
      <c r="E59" s="3">
        <f>IF(親1!D59&lt;=833.3+42*親1!AS59,IF(AND(C59&gt;=0,C59&lt;=3),1.5*12,IF(AND(C59&gt;3,C59&lt;=15),1*12,0)),IF(AND(C59&gt;=0,C59&lt;=15),0.5*12,0))</f>
        <v>0</v>
      </c>
      <c r="F59" s="3"/>
      <c r="G59" s="3"/>
      <c r="H59" s="3"/>
      <c r="I59" s="14"/>
      <c r="J59" s="24">
        <f t="shared" si="16"/>
        <v>0</v>
      </c>
      <c r="K59" s="5"/>
      <c r="L59" s="3"/>
      <c r="M59" s="3">
        <f>IF(AND($C59&gt;=0,$C59&lt;=入力!$Q$38),M$1,0)</f>
        <v>0</v>
      </c>
      <c r="N59" s="3">
        <f>IF(AND($C59&gt;=0,$C59&lt;=入力!$Q$38),N$1,0)</f>
        <v>0</v>
      </c>
      <c r="O59" s="3">
        <f>IF(AND($C59&gt;=0,$C59&lt;=入力!$Q$38),O$1,0)</f>
        <v>0</v>
      </c>
      <c r="P59" s="3">
        <f>IF(AND($C59&gt;=0,$C59&lt;=入力!$Q$38),P$1,0)</f>
        <v>0</v>
      </c>
      <c r="Q59" s="3">
        <f>IF(AND($C59&gt;=0,$C59&lt;=入力!$Q$38),Q$1,0)</f>
        <v>0</v>
      </c>
      <c r="R59" s="3"/>
      <c r="S59" s="14"/>
      <c r="T59" s="18">
        <f t="shared" si="10"/>
        <v>0</v>
      </c>
      <c r="U59" s="24">
        <f t="shared" si="11"/>
        <v>0</v>
      </c>
      <c r="V59" s="5"/>
      <c r="W59" s="3">
        <f>IF(AND($C59&gt;=10,$C59&lt;=入力!$Q$38),W$1,0)</f>
        <v>0</v>
      </c>
      <c r="X59" s="3">
        <f>IFERROR(VLOOKUP($C59,学費計算!$C:$R,学費計算!H$1,0),0)</f>
        <v>0</v>
      </c>
      <c r="Y59" s="3">
        <f>IFERROR(VLOOKUP($C59,学費計算!$C:$R,学費計算!I$1,0),0)</f>
        <v>0</v>
      </c>
      <c r="Z59" s="3">
        <f>IFERROR(VLOOKUP($C59,学費計算!$C:$R,学費計算!J$1,0),0)</f>
        <v>0</v>
      </c>
      <c r="AA59" s="3">
        <f>IFERROR(VLOOKUP($C59,学費計算!$C:$R,学費計算!K$1,0),0)</f>
        <v>0</v>
      </c>
      <c r="AB59" s="14"/>
      <c r="AC59" s="18">
        <f t="shared" si="12"/>
        <v>0</v>
      </c>
      <c r="AD59" s="24">
        <f t="shared" si="13"/>
        <v>0</v>
      </c>
      <c r="AE59" s="5">
        <f>IF(AND($C59&gt;=0,$C59&lt;=入力!$Q$38),AE$1,0)</f>
        <v>0</v>
      </c>
      <c r="AF59" s="3"/>
      <c r="AG59" s="3"/>
      <c r="AH59" s="3"/>
      <c r="AI59" s="3"/>
      <c r="AJ59" s="14"/>
      <c r="AK59" s="18">
        <f t="shared" si="7"/>
        <v>0</v>
      </c>
      <c r="AL59" s="24">
        <f t="shared" si="5"/>
        <v>0</v>
      </c>
      <c r="AM59" s="24">
        <f t="shared" si="14"/>
        <v>-1741.453</v>
      </c>
    </row>
    <row r="60" spans="2:39" x14ac:dyDescent="0.25">
      <c r="B60" s="5">
        <f t="shared" si="15"/>
        <v>73</v>
      </c>
      <c r="C60" s="3">
        <f t="shared" si="9"/>
        <v>47</v>
      </c>
      <c r="D60" s="34"/>
      <c r="E60" s="3">
        <f>IF(親1!D60&lt;=833.3+42*親1!AS60,IF(AND(C60&gt;=0,C60&lt;=3),1.5*12,IF(AND(C60&gt;3,C60&lt;=15),1*12,0)),IF(AND(C60&gt;=0,C60&lt;=15),0.5*12,0))</f>
        <v>0</v>
      </c>
      <c r="F60" s="3"/>
      <c r="G60" s="3"/>
      <c r="H60" s="3"/>
      <c r="I60" s="14"/>
      <c r="J60" s="24">
        <f t="shared" si="16"/>
        <v>0</v>
      </c>
      <c r="K60" s="5"/>
      <c r="L60" s="3"/>
      <c r="M60" s="3">
        <f>IF(AND($C60&gt;=0,$C60&lt;=入力!$Q$38),M$1,0)</f>
        <v>0</v>
      </c>
      <c r="N60" s="3">
        <f>IF(AND($C60&gt;=0,$C60&lt;=入力!$Q$38),N$1,0)</f>
        <v>0</v>
      </c>
      <c r="O60" s="3">
        <f>IF(AND($C60&gt;=0,$C60&lt;=入力!$Q$38),O$1,0)</f>
        <v>0</v>
      </c>
      <c r="P60" s="3">
        <f>IF(AND($C60&gt;=0,$C60&lt;=入力!$Q$38),P$1,0)</f>
        <v>0</v>
      </c>
      <c r="Q60" s="3">
        <f>IF(AND($C60&gt;=0,$C60&lt;=入力!$Q$38),Q$1,0)</f>
        <v>0</v>
      </c>
      <c r="R60" s="3"/>
      <c r="S60" s="14"/>
      <c r="T60" s="18">
        <f t="shared" si="10"/>
        <v>0</v>
      </c>
      <c r="U60" s="24">
        <f t="shared" si="11"/>
        <v>0</v>
      </c>
      <c r="V60" s="5"/>
      <c r="W60" s="3">
        <f>IF(AND($C60&gt;=10,$C60&lt;=入力!$Q$38),W$1,0)</f>
        <v>0</v>
      </c>
      <c r="X60" s="3">
        <f>IFERROR(VLOOKUP($C60,学費計算!$C:$R,学費計算!H$1,0),0)</f>
        <v>0</v>
      </c>
      <c r="Y60" s="3">
        <f>IFERROR(VLOOKUP($C60,学費計算!$C:$R,学費計算!I$1,0),0)</f>
        <v>0</v>
      </c>
      <c r="Z60" s="3">
        <f>IFERROR(VLOOKUP($C60,学費計算!$C:$R,学費計算!J$1,0),0)</f>
        <v>0</v>
      </c>
      <c r="AA60" s="3">
        <f>IFERROR(VLOOKUP($C60,学費計算!$C:$R,学費計算!K$1,0),0)</f>
        <v>0</v>
      </c>
      <c r="AB60" s="14"/>
      <c r="AC60" s="18">
        <f t="shared" si="12"/>
        <v>0</v>
      </c>
      <c r="AD60" s="24">
        <f t="shared" si="13"/>
        <v>0</v>
      </c>
      <c r="AE60" s="5">
        <f>IF(AND($C60&gt;=0,$C60&lt;=入力!$Q$38),AE$1,0)</f>
        <v>0</v>
      </c>
      <c r="AF60" s="3"/>
      <c r="AG60" s="3"/>
      <c r="AH60" s="3"/>
      <c r="AI60" s="3"/>
      <c r="AJ60" s="14"/>
      <c r="AK60" s="18">
        <f t="shared" si="7"/>
        <v>0</v>
      </c>
      <c r="AL60" s="24">
        <f t="shared" si="5"/>
        <v>0</v>
      </c>
      <c r="AM60" s="24">
        <f t="shared" si="14"/>
        <v>-1741.453</v>
      </c>
    </row>
    <row r="61" spans="2:39" x14ac:dyDescent="0.25">
      <c r="B61" s="5">
        <f t="shared" si="15"/>
        <v>74</v>
      </c>
      <c r="C61" s="3">
        <f t="shared" si="9"/>
        <v>48</v>
      </c>
      <c r="D61" s="34"/>
      <c r="E61" s="3">
        <f>IF(親1!D61&lt;=833.3+42*親1!AS61,IF(AND(C61&gt;=0,C61&lt;=3),1.5*12,IF(AND(C61&gt;3,C61&lt;=15),1*12,0)),IF(AND(C61&gt;=0,C61&lt;=15),0.5*12,0))</f>
        <v>0</v>
      </c>
      <c r="F61" s="3"/>
      <c r="G61" s="3"/>
      <c r="H61" s="3"/>
      <c r="I61" s="14"/>
      <c r="J61" s="24">
        <f t="shared" si="16"/>
        <v>0</v>
      </c>
      <c r="K61" s="5"/>
      <c r="L61" s="3"/>
      <c r="M61" s="3">
        <f>IF(AND($C61&gt;=0,$C61&lt;=入力!$Q$38),M$1,0)</f>
        <v>0</v>
      </c>
      <c r="N61" s="3">
        <f>IF(AND($C61&gt;=0,$C61&lt;=入力!$Q$38),N$1,0)</f>
        <v>0</v>
      </c>
      <c r="O61" s="3">
        <f>IF(AND($C61&gt;=0,$C61&lt;=入力!$Q$38),O$1,0)</f>
        <v>0</v>
      </c>
      <c r="P61" s="3">
        <f>IF(AND($C61&gt;=0,$C61&lt;=入力!$Q$38),P$1,0)</f>
        <v>0</v>
      </c>
      <c r="Q61" s="3">
        <f>IF(AND($C61&gt;=0,$C61&lt;=入力!$Q$38),Q$1,0)</f>
        <v>0</v>
      </c>
      <c r="R61" s="3"/>
      <c r="S61" s="14"/>
      <c r="T61" s="18">
        <f t="shared" si="10"/>
        <v>0</v>
      </c>
      <c r="U61" s="24">
        <f t="shared" si="11"/>
        <v>0</v>
      </c>
      <c r="V61" s="5"/>
      <c r="W61" s="3">
        <f>IF(AND($C61&gt;=10,$C61&lt;=入力!$Q$38),W$1,0)</f>
        <v>0</v>
      </c>
      <c r="X61" s="3">
        <f>IFERROR(VLOOKUP($C61,学費計算!$C:$R,学費計算!H$1,0),0)</f>
        <v>0</v>
      </c>
      <c r="Y61" s="3">
        <f>IFERROR(VLOOKUP($C61,学費計算!$C:$R,学費計算!I$1,0),0)</f>
        <v>0</v>
      </c>
      <c r="Z61" s="3">
        <f>IFERROR(VLOOKUP($C61,学費計算!$C:$R,学費計算!J$1,0),0)</f>
        <v>0</v>
      </c>
      <c r="AA61" s="3">
        <f>IFERROR(VLOOKUP($C61,学費計算!$C:$R,学費計算!K$1,0),0)</f>
        <v>0</v>
      </c>
      <c r="AB61" s="14"/>
      <c r="AC61" s="18">
        <f t="shared" si="12"/>
        <v>0</v>
      </c>
      <c r="AD61" s="24">
        <f t="shared" si="13"/>
        <v>0</v>
      </c>
      <c r="AE61" s="5">
        <f>IF(AND($C61&gt;=0,$C61&lt;=入力!$Q$38),AE$1,0)</f>
        <v>0</v>
      </c>
      <c r="AF61" s="3"/>
      <c r="AG61" s="3"/>
      <c r="AH61" s="3"/>
      <c r="AI61" s="3"/>
      <c r="AJ61" s="14"/>
      <c r="AK61" s="18">
        <f t="shared" si="7"/>
        <v>0</v>
      </c>
      <c r="AL61" s="24">
        <f t="shared" si="5"/>
        <v>0</v>
      </c>
      <c r="AM61" s="24">
        <f t="shared" si="14"/>
        <v>-1741.453</v>
      </c>
    </row>
    <row r="62" spans="2:39" x14ac:dyDescent="0.25">
      <c r="B62" s="5">
        <f t="shared" si="15"/>
        <v>75</v>
      </c>
      <c r="C62" s="3">
        <f t="shared" si="9"/>
        <v>49</v>
      </c>
      <c r="D62" s="34"/>
      <c r="E62" s="3">
        <f>IF(親1!D62&lt;=833.3+42*親1!AS62,IF(AND(C62&gt;=0,C62&lt;=3),1.5*12,IF(AND(C62&gt;3,C62&lt;=15),1*12,0)),IF(AND(C62&gt;=0,C62&lt;=15),0.5*12,0))</f>
        <v>0</v>
      </c>
      <c r="F62" s="3"/>
      <c r="G62" s="3"/>
      <c r="H62" s="3"/>
      <c r="I62" s="14"/>
      <c r="J62" s="24">
        <f t="shared" si="16"/>
        <v>0</v>
      </c>
      <c r="K62" s="5"/>
      <c r="L62" s="3"/>
      <c r="M62" s="3">
        <f>IF(AND($C62&gt;=0,$C62&lt;=入力!$Q$38),M$1,0)</f>
        <v>0</v>
      </c>
      <c r="N62" s="3">
        <f>IF(AND($C62&gt;=0,$C62&lt;=入力!$Q$38),N$1,0)</f>
        <v>0</v>
      </c>
      <c r="O62" s="3">
        <f>IF(AND($C62&gt;=0,$C62&lt;=入力!$Q$38),O$1,0)</f>
        <v>0</v>
      </c>
      <c r="P62" s="3">
        <f>IF(AND($C62&gt;=0,$C62&lt;=入力!$Q$38),P$1,0)</f>
        <v>0</v>
      </c>
      <c r="Q62" s="3">
        <f>IF(AND($C62&gt;=0,$C62&lt;=入力!$Q$38),Q$1,0)</f>
        <v>0</v>
      </c>
      <c r="R62" s="3"/>
      <c r="S62" s="14"/>
      <c r="T62" s="18">
        <f t="shared" si="10"/>
        <v>0</v>
      </c>
      <c r="U62" s="24">
        <f t="shared" si="11"/>
        <v>0</v>
      </c>
      <c r="V62" s="5"/>
      <c r="W62" s="3">
        <f>IF(AND($C62&gt;=10,$C62&lt;=入力!$Q$38),W$1,0)</f>
        <v>0</v>
      </c>
      <c r="X62" s="3">
        <f>IFERROR(VLOOKUP($C62,学費計算!$C:$R,学費計算!H$1,0),0)</f>
        <v>0</v>
      </c>
      <c r="Y62" s="3">
        <f>IFERROR(VLOOKUP($C62,学費計算!$C:$R,学費計算!I$1,0),0)</f>
        <v>0</v>
      </c>
      <c r="Z62" s="3">
        <f>IFERROR(VLOOKUP($C62,学費計算!$C:$R,学費計算!J$1,0),0)</f>
        <v>0</v>
      </c>
      <c r="AA62" s="3">
        <f>IFERROR(VLOOKUP($C62,学費計算!$C:$R,学費計算!K$1,0),0)</f>
        <v>0</v>
      </c>
      <c r="AB62" s="14"/>
      <c r="AC62" s="18">
        <f t="shared" si="12"/>
        <v>0</v>
      </c>
      <c r="AD62" s="24">
        <f t="shared" si="13"/>
        <v>0</v>
      </c>
      <c r="AE62" s="5">
        <f>IF(AND($C62&gt;=0,$C62&lt;=入力!$Q$38),AE$1,0)</f>
        <v>0</v>
      </c>
      <c r="AF62" s="3"/>
      <c r="AG62" s="3"/>
      <c r="AH62" s="3"/>
      <c r="AI62" s="3"/>
      <c r="AJ62" s="14"/>
      <c r="AK62" s="18">
        <f t="shared" si="7"/>
        <v>0</v>
      </c>
      <c r="AL62" s="24">
        <f t="shared" si="5"/>
        <v>0</v>
      </c>
      <c r="AM62" s="24">
        <f t="shared" si="14"/>
        <v>-1741.453</v>
      </c>
    </row>
    <row r="63" spans="2:39" x14ac:dyDescent="0.25">
      <c r="B63" s="5">
        <f t="shared" si="15"/>
        <v>76</v>
      </c>
      <c r="C63" s="3">
        <f t="shared" si="9"/>
        <v>50</v>
      </c>
      <c r="D63" s="34"/>
      <c r="E63" s="3">
        <f>IF(親1!D63&lt;=833.3+42*親1!AS63,IF(AND(C63&gt;=0,C63&lt;=3),1.5*12,IF(AND(C63&gt;3,C63&lt;=15),1*12,0)),IF(AND(C63&gt;=0,C63&lt;=15),0.5*12,0))</f>
        <v>0</v>
      </c>
      <c r="F63" s="3"/>
      <c r="G63" s="3"/>
      <c r="H63" s="3"/>
      <c r="I63" s="14"/>
      <c r="J63" s="24">
        <f t="shared" si="16"/>
        <v>0</v>
      </c>
      <c r="K63" s="5"/>
      <c r="L63" s="3"/>
      <c r="M63" s="3">
        <f>IF(AND($C63&gt;=0,$C63&lt;=入力!$Q$38),M$1,0)</f>
        <v>0</v>
      </c>
      <c r="N63" s="3">
        <f>IF(AND($C63&gt;=0,$C63&lt;=入力!$Q$38),N$1,0)</f>
        <v>0</v>
      </c>
      <c r="O63" s="3">
        <f>IF(AND($C63&gt;=0,$C63&lt;=入力!$Q$38),O$1,0)</f>
        <v>0</v>
      </c>
      <c r="P63" s="3">
        <f>IF(AND($C63&gt;=0,$C63&lt;=入力!$Q$38),P$1,0)</f>
        <v>0</v>
      </c>
      <c r="Q63" s="3">
        <f>IF(AND($C63&gt;=0,$C63&lt;=入力!$Q$38),Q$1,0)</f>
        <v>0</v>
      </c>
      <c r="R63" s="3"/>
      <c r="S63" s="14"/>
      <c r="T63" s="18">
        <f t="shared" si="10"/>
        <v>0</v>
      </c>
      <c r="U63" s="24">
        <f t="shared" si="11"/>
        <v>0</v>
      </c>
      <c r="V63" s="5"/>
      <c r="W63" s="3">
        <f>IF(AND($C63&gt;=10,$C63&lt;=入力!$Q$38),W$1,0)</f>
        <v>0</v>
      </c>
      <c r="X63" s="3">
        <f>IFERROR(VLOOKUP($C63,学費計算!$C:$R,学費計算!H$1,0),0)</f>
        <v>0</v>
      </c>
      <c r="Y63" s="3">
        <f>IFERROR(VLOOKUP($C63,学費計算!$C:$R,学費計算!I$1,0),0)</f>
        <v>0</v>
      </c>
      <c r="Z63" s="3">
        <f>IFERROR(VLOOKUP($C63,学費計算!$C:$R,学費計算!J$1,0),0)</f>
        <v>0</v>
      </c>
      <c r="AA63" s="3">
        <f>IFERROR(VLOOKUP($C63,学費計算!$C:$R,学費計算!K$1,0),0)</f>
        <v>0</v>
      </c>
      <c r="AB63" s="14"/>
      <c r="AC63" s="18">
        <f t="shared" si="12"/>
        <v>0</v>
      </c>
      <c r="AD63" s="24">
        <f t="shared" si="13"/>
        <v>0</v>
      </c>
      <c r="AE63" s="5">
        <f>IF(AND($C63&gt;=0,$C63&lt;=入力!$Q$38),AE$1,0)</f>
        <v>0</v>
      </c>
      <c r="AF63" s="3"/>
      <c r="AG63" s="3"/>
      <c r="AH63" s="3"/>
      <c r="AI63" s="3"/>
      <c r="AJ63" s="14"/>
      <c r="AK63" s="18">
        <f t="shared" si="7"/>
        <v>0</v>
      </c>
      <c r="AL63" s="24">
        <f t="shared" si="5"/>
        <v>0</v>
      </c>
      <c r="AM63" s="24">
        <f t="shared" si="14"/>
        <v>-1741.453</v>
      </c>
    </row>
    <row r="64" spans="2:39" x14ac:dyDescent="0.25">
      <c r="B64" s="5">
        <f t="shared" si="15"/>
        <v>77</v>
      </c>
      <c r="C64" s="3">
        <f t="shared" si="9"/>
        <v>51</v>
      </c>
      <c r="D64" s="34"/>
      <c r="E64" s="3">
        <f>IF(親1!D64&lt;=833.3+42*親1!AS64,IF(AND(C64&gt;=0,C64&lt;=3),1.5*12,IF(AND(C64&gt;3,C64&lt;=15),1*12,0)),IF(AND(C64&gt;=0,C64&lt;=15),0.5*12,0))</f>
        <v>0</v>
      </c>
      <c r="F64" s="3"/>
      <c r="G64" s="3"/>
      <c r="H64" s="3"/>
      <c r="I64" s="14"/>
      <c r="J64" s="24">
        <f t="shared" si="16"/>
        <v>0</v>
      </c>
      <c r="K64" s="5"/>
      <c r="L64" s="3"/>
      <c r="M64" s="3">
        <f>IF(AND($C64&gt;=0,$C64&lt;=入力!$Q$38),M$1,0)</f>
        <v>0</v>
      </c>
      <c r="N64" s="3">
        <f>IF(AND($C64&gt;=0,$C64&lt;=入力!$Q$38),N$1,0)</f>
        <v>0</v>
      </c>
      <c r="O64" s="3">
        <f>IF(AND($C64&gt;=0,$C64&lt;=入力!$Q$38),O$1,0)</f>
        <v>0</v>
      </c>
      <c r="P64" s="3">
        <f>IF(AND($C64&gt;=0,$C64&lt;=入力!$Q$38),P$1,0)</f>
        <v>0</v>
      </c>
      <c r="Q64" s="3">
        <f>IF(AND($C64&gt;=0,$C64&lt;=入力!$Q$38),Q$1,0)</f>
        <v>0</v>
      </c>
      <c r="R64" s="3"/>
      <c r="S64" s="14"/>
      <c r="T64" s="18">
        <f t="shared" si="10"/>
        <v>0</v>
      </c>
      <c r="U64" s="24">
        <f t="shared" si="11"/>
        <v>0</v>
      </c>
      <c r="V64" s="5"/>
      <c r="W64" s="3">
        <f>IF(AND($C64&gt;=10,$C64&lt;=入力!$Q$38),W$1,0)</f>
        <v>0</v>
      </c>
      <c r="X64" s="3">
        <f>IFERROR(VLOOKUP($C64,学費計算!$C:$R,学費計算!H$1,0),0)</f>
        <v>0</v>
      </c>
      <c r="Y64" s="3">
        <f>IFERROR(VLOOKUP($C64,学費計算!$C:$R,学費計算!I$1,0),0)</f>
        <v>0</v>
      </c>
      <c r="Z64" s="3">
        <f>IFERROR(VLOOKUP($C64,学費計算!$C:$R,学費計算!J$1,0),0)</f>
        <v>0</v>
      </c>
      <c r="AA64" s="3">
        <f>IFERROR(VLOOKUP($C64,学費計算!$C:$R,学費計算!K$1,0),0)</f>
        <v>0</v>
      </c>
      <c r="AB64" s="14"/>
      <c r="AC64" s="18">
        <f t="shared" si="12"/>
        <v>0</v>
      </c>
      <c r="AD64" s="24">
        <f t="shared" si="13"/>
        <v>0</v>
      </c>
      <c r="AE64" s="5">
        <f>IF(AND($C64&gt;=0,$C64&lt;=入力!$Q$38),AE$1,0)</f>
        <v>0</v>
      </c>
      <c r="AF64" s="3"/>
      <c r="AG64" s="3"/>
      <c r="AH64" s="3"/>
      <c r="AI64" s="3"/>
      <c r="AJ64" s="14"/>
      <c r="AK64" s="18">
        <f t="shared" si="7"/>
        <v>0</v>
      </c>
      <c r="AL64" s="24">
        <f t="shared" si="5"/>
        <v>0</v>
      </c>
      <c r="AM64" s="24">
        <f t="shared" si="14"/>
        <v>-1741.453</v>
      </c>
    </row>
    <row r="65" spans="2:39" x14ac:dyDescent="0.25">
      <c r="B65" s="5">
        <f t="shared" si="15"/>
        <v>78</v>
      </c>
      <c r="C65" s="3">
        <f t="shared" si="9"/>
        <v>52</v>
      </c>
      <c r="D65" s="34"/>
      <c r="E65" s="3">
        <f>IF(親1!D65&lt;=833.3+42*親1!AS65,IF(AND(C65&gt;=0,C65&lt;=3),1.5*12,IF(AND(C65&gt;3,C65&lt;=15),1*12,0)),IF(AND(C65&gt;=0,C65&lt;=15),0.5*12,0))</f>
        <v>0</v>
      </c>
      <c r="F65" s="3"/>
      <c r="G65" s="3"/>
      <c r="H65" s="3"/>
      <c r="I65" s="14"/>
      <c r="J65" s="24">
        <f t="shared" si="16"/>
        <v>0</v>
      </c>
      <c r="K65" s="5"/>
      <c r="L65" s="3"/>
      <c r="M65" s="3">
        <f>IF(AND($C65&gt;=0,$C65&lt;=入力!$Q$38),M$1,0)</f>
        <v>0</v>
      </c>
      <c r="N65" s="3">
        <f>IF(AND($C65&gt;=0,$C65&lt;=入力!$Q$38),N$1,0)</f>
        <v>0</v>
      </c>
      <c r="O65" s="3">
        <f>IF(AND($C65&gt;=0,$C65&lt;=入力!$Q$38),O$1,0)</f>
        <v>0</v>
      </c>
      <c r="P65" s="3">
        <f>IF(AND($C65&gt;=0,$C65&lt;=入力!$Q$38),P$1,0)</f>
        <v>0</v>
      </c>
      <c r="Q65" s="3">
        <f>IF(AND($C65&gt;=0,$C65&lt;=入力!$Q$38),Q$1,0)</f>
        <v>0</v>
      </c>
      <c r="R65" s="3"/>
      <c r="S65" s="14"/>
      <c r="T65" s="18">
        <f t="shared" si="10"/>
        <v>0</v>
      </c>
      <c r="U65" s="24">
        <f t="shared" si="11"/>
        <v>0</v>
      </c>
      <c r="V65" s="5"/>
      <c r="W65" s="3">
        <f>IF(AND($C65&gt;=10,$C65&lt;=入力!$Q$38),W$1,0)</f>
        <v>0</v>
      </c>
      <c r="X65" s="3">
        <f>IFERROR(VLOOKUP($C65,学費計算!$C:$R,学費計算!H$1,0),0)</f>
        <v>0</v>
      </c>
      <c r="Y65" s="3">
        <f>IFERROR(VLOOKUP($C65,学費計算!$C:$R,学費計算!I$1,0),0)</f>
        <v>0</v>
      </c>
      <c r="Z65" s="3">
        <f>IFERROR(VLOOKUP($C65,学費計算!$C:$R,学費計算!J$1,0),0)</f>
        <v>0</v>
      </c>
      <c r="AA65" s="3">
        <f>IFERROR(VLOOKUP($C65,学費計算!$C:$R,学費計算!K$1,0),0)</f>
        <v>0</v>
      </c>
      <c r="AB65" s="14"/>
      <c r="AC65" s="18">
        <f t="shared" si="12"/>
        <v>0</v>
      </c>
      <c r="AD65" s="24">
        <f t="shared" si="13"/>
        <v>0</v>
      </c>
      <c r="AE65" s="5">
        <f>IF(AND($C65&gt;=0,$C65&lt;=入力!$Q$38),AE$1,0)</f>
        <v>0</v>
      </c>
      <c r="AF65" s="3"/>
      <c r="AG65" s="3"/>
      <c r="AH65" s="3"/>
      <c r="AI65" s="3"/>
      <c r="AJ65" s="14"/>
      <c r="AK65" s="18">
        <f t="shared" si="7"/>
        <v>0</v>
      </c>
      <c r="AL65" s="24">
        <f t="shared" si="5"/>
        <v>0</v>
      </c>
      <c r="AM65" s="24">
        <f t="shared" si="14"/>
        <v>-1741.453</v>
      </c>
    </row>
    <row r="66" spans="2:39" x14ac:dyDescent="0.25">
      <c r="B66" s="5">
        <f t="shared" si="15"/>
        <v>79</v>
      </c>
      <c r="C66" s="3">
        <f t="shared" si="9"/>
        <v>53</v>
      </c>
      <c r="D66" s="34"/>
      <c r="E66" s="3">
        <f>IF(親1!D66&lt;=833.3+42*親1!AS66,IF(AND(C66&gt;=0,C66&lt;=3),1.5*12,IF(AND(C66&gt;3,C66&lt;=15),1*12,0)),IF(AND(C66&gt;=0,C66&lt;=15),0.5*12,0))</f>
        <v>0</v>
      </c>
      <c r="F66" s="3"/>
      <c r="G66" s="3"/>
      <c r="H66" s="3"/>
      <c r="I66" s="14"/>
      <c r="J66" s="24">
        <f t="shared" si="16"/>
        <v>0</v>
      </c>
      <c r="K66" s="5"/>
      <c r="L66" s="3"/>
      <c r="M66" s="3">
        <f>IF(AND($C66&gt;=0,$C66&lt;=入力!$Q$38),M$1,0)</f>
        <v>0</v>
      </c>
      <c r="N66" s="3">
        <f>IF(AND($C66&gt;=0,$C66&lt;=入力!$Q$38),N$1,0)</f>
        <v>0</v>
      </c>
      <c r="O66" s="3">
        <f>IF(AND($C66&gt;=0,$C66&lt;=入力!$Q$38),O$1,0)</f>
        <v>0</v>
      </c>
      <c r="P66" s="3">
        <f>IF(AND($C66&gt;=0,$C66&lt;=入力!$Q$38),P$1,0)</f>
        <v>0</v>
      </c>
      <c r="Q66" s="3">
        <f>IF(AND($C66&gt;=0,$C66&lt;=入力!$Q$38),Q$1,0)</f>
        <v>0</v>
      </c>
      <c r="R66" s="3"/>
      <c r="S66" s="14"/>
      <c r="T66" s="18">
        <f t="shared" si="10"/>
        <v>0</v>
      </c>
      <c r="U66" s="24">
        <f t="shared" si="11"/>
        <v>0</v>
      </c>
      <c r="V66" s="5"/>
      <c r="W66" s="3">
        <f>IF(AND($C66&gt;=10,$C66&lt;=入力!$Q$38),W$1,0)</f>
        <v>0</v>
      </c>
      <c r="X66" s="3">
        <f>IFERROR(VLOOKUP($C66,学費計算!$C:$R,学費計算!H$1,0),0)</f>
        <v>0</v>
      </c>
      <c r="Y66" s="3">
        <f>IFERROR(VLOOKUP($C66,学費計算!$C:$R,学費計算!I$1,0),0)</f>
        <v>0</v>
      </c>
      <c r="Z66" s="3">
        <f>IFERROR(VLOOKUP($C66,学費計算!$C:$R,学費計算!J$1,0),0)</f>
        <v>0</v>
      </c>
      <c r="AA66" s="3">
        <f>IFERROR(VLOOKUP($C66,学費計算!$C:$R,学費計算!K$1,0),0)</f>
        <v>0</v>
      </c>
      <c r="AB66" s="14"/>
      <c r="AC66" s="18">
        <f t="shared" si="12"/>
        <v>0</v>
      </c>
      <c r="AD66" s="24">
        <f t="shared" si="13"/>
        <v>0</v>
      </c>
      <c r="AE66" s="5">
        <f>IF(AND($C66&gt;=0,$C66&lt;=入力!$Q$38),AE$1,0)</f>
        <v>0</v>
      </c>
      <c r="AF66" s="3"/>
      <c r="AG66" s="3"/>
      <c r="AH66" s="3"/>
      <c r="AI66" s="3"/>
      <c r="AJ66" s="14"/>
      <c r="AK66" s="18">
        <f t="shared" si="7"/>
        <v>0</v>
      </c>
      <c r="AL66" s="24">
        <f t="shared" si="5"/>
        <v>0</v>
      </c>
      <c r="AM66" s="24">
        <f t="shared" si="14"/>
        <v>-1741.453</v>
      </c>
    </row>
    <row r="67" spans="2:39" x14ac:dyDescent="0.25">
      <c r="B67" s="5">
        <f t="shared" si="15"/>
        <v>80</v>
      </c>
      <c r="C67" s="3">
        <f t="shared" si="9"/>
        <v>54</v>
      </c>
      <c r="D67" s="34"/>
      <c r="E67" s="3">
        <f>IF(親1!D67&lt;=833.3+42*親1!AS67,IF(AND(C67&gt;=0,C67&lt;=3),1.5*12,IF(AND(C67&gt;3,C67&lt;=15),1*12,0)),IF(AND(C67&gt;=0,C67&lt;=15),0.5*12,0))</f>
        <v>0</v>
      </c>
      <c r="F67" s="3"/>
      <c r="G67" s="3"/>
      <c r="H67" s="3"/>
      <c r="I67" s="14"/>
      <c r="J67" s="24">
        <f t="shared" si="16"/>
        <v>0</v>
      </c>
      <c r="K67" s="5"/>
      <c r="L67" s="3"/>
      <c r="M67" s="3">
        <f>IF(AND($C67&gt;=0,$C67&lt;=入力!$Q$38),M$1,0)</f>
        <v>0</v>
      </c>
      <c r="N67" s="3">
        <f>IF(AND($C67&gt;=0,$C67&lt;=入力!$Q$38),N$1,0)</f>
        <v>0</v>
      </c>
      <c r="O67" s="3">
        <f>IF(AND($C67&gt;=0,$C67&lt;=入力!$Q$38),O$1,0)</f>
        <v>0</v>
      </c>
      <c r="P67" s="3">
        <f>IF(AND($C67&gt;=0,$C67&lt;=入力!$Q$38),P$1,0)</f>
        <v>0</v>
      </c>
      <c r="Q67" s="3">
        <f>IF(AND($C67&gt;=0,$C67&lt;=入力!$Q$38),Q$1,0)</f>
        <v>0</v>
      </c>
      <c r="R67" s="3"/>
      <c r="S67" s="14"/>
      <c r="T67" s="18">
        <f t="shared" si="10"/>
        <v>0</v>
      </c>
      <c r="U67" s="24">
        <f t="shared" si="11"/>
        <v>0</v>
      </c>
      <c r="V67" s="5"/>
      <c r="W67" s="3">
        <f>IF(AND($C67&gt;=10,$C67&lt;=入力!$Q$38),W$1,0)</f>
        <v>0</v>
      </c>
      <c r="X67" s="3">
        <f>IFERROR(VLOOKUP($C67,学費計算!$C:$R,学費計算!H$1,0),0)</f>
        <v>0</v>
      </c>
      <c r="Y67" s="3">
        <f>IFERROR(VLOOKUP($C67,学費計算!$C:$R,学費計算!I$1,0),0)</f>
        <v>0</v>
      </c>
      <c r="Z67" s="3">
        <f>IFERROR(VLOOKUP($C67,学費計算!$C:$R,学費計算!J$1,0),0)</f>
        <v>0</v>
      </c>
      <c r="AA67" s="3">
        <f>IFERROR(VLOOKUP($C67,学費計算!$C:$R,学費計算!K$1,0),0)</f>
        <v>0</v>
      </c>
      <c r="AB67" s="14"/>
      <c r="AC67" s="18">
        <f t="shared" si="12"/>
        <v>0</v>
      </c>
      <c r="AD67" s="24">
        <f t="shared" si="13"/>
        <v>0</v>
      </c>
      <c r="AE67" s="5">
        <f>IF(AND($C67&gt;=0,$C67&lt;=入力!$Q$38),AE$1,0)</f>
        <v>0</v>
      </c>
      <c r="AF67" s="3"/>
      <c r="AG67" s="3"/>
      <c r="AH67" s="3"/>
      <c r="AI67" s="3"/>
      <c r="AJ67" s="14"/>
      <c r="AK67" s="18">
        <f t="shared" si="7"/>
        <v>0</v>
      </c>
      <c r="AL67" s="24">
        <f t="shared" si="5"/>
        <v>0</v>
      </c>
      <c r="AM67" s="24">
        <f t="shared" si="14"/>
        <v>-1741.453</v>
      </c>
    </row>
    <row r="68" spans="2:39" x14ac:dyDescent="0.25">
      <c r="B68" s="5">
        <f t="shared" si="15"/>
        <v>81</v>
      </c>
      <c r="C68" s="3">
        <f t="shared" si="9"/>
        <v>55</v>
      </c>
      <c r="D68" s="34"/>
      <c r="E68" s="3">
        <f>IF(親1!D68&lt;=833.3+42*親1!AS68,IF(AND(C68&gt;=0,C68&lt;=3),1.5*12,IF(AND(C68&gt;3,C68&lt;=15),1*12,0)),IF(AND(C68&gt;=0,C68&lt;=15),0.5*12,0))</f>
        <v>0</v>
      </c>
      <c r="F68" s="3"/>
      <c r="G68" s="3"/>
      <c r="H68" s="3"/>
      <c r="I68" s="14"/>
      <c r="J68" s="24">
        <f t="shared" si="16"/>
        <v>0</v>
      </c>
      <c r="K68" s="5"/>
      <c r="L68" s="3"/>
      <c r="M68" s="3">
        <f>IF(AND($C68&gt;=0,$C68&lt;=入力!$Q$38),M$1,0)</f>
        <v>0</v>
      </c>
      <c r="N68" s="3">
        <f>IF(AND($C68&gt;=0,$C68&lt;=入力!$Q$38),N$1,0)</f>
        <v>0</v>
      </c>
      <c r="O68" s="3">
        <f>IF(AND($C68&gt;=0,$C68&lt;=入力!$Q$38),O$1,0)</f>
        <v>0</v>
      </c>
      <c r="P68" s="3">
        <f>IF(AND($C68&gt;=0,$C68&lt;=入力!$Q$38),P$1,0)</f>
        <v>0</v>
      </c>
      <c r="Q68" s="3">
        <f>IF(AND($C68&gt;=0,$C68&lt;=入力!$Q$38),Q$1,0)</f>
        <v>0</v>
      </c>
      <c r="R68" s="3"/>
      <c r="S68" s="14"/>
      <c r="T68" s="18">
        <f t="shared" si="10"/>
        <v>0</v>
      </c>
      <c r="U68" s="24">
        <f t="shared" si="11"/>
        <v>0</v>
      </c>
      <c r="V68" s="5"/>
      <c r="W68" s="3">
        <f>IF(AND($C68&gt;=10,$C68&lt;=入力!$Q$38),W$1,0)</f>
        <v>0</v>
      </c>
      <c r="X68" s="3">
        <f>IFERROR(VLOOKUP($C68,学費計算!$C:$R,学費計算!H$1,0),0)</f>
        <v>0</v>
      </c>
      <c r="Y68" s="3">
        <f>IFERROR(VLOOKUP($C68,学費計算!$C:$R,学費計算!I$1,0),0)</f>
        <v>0</v>
      </c>
      <c r="Z68" s="3">
        <f>IFERROR(VLOOKUP($C68,学費計算!$C:$R,学費計算!J$1,0),0)</f>
        <v>0</v>
      </c>
      <c r="AA68" s="3">
        <f>IFERROR(VLOOKUP($C68,学費計算!$C:$R,学費計算!K$1,0),0)</f>
        <v>0</v>
      </c>
      <c r="AB68" s="14"/>
      <c r="AC68" s="18">
        <f t="shared" si="12"/>
        <v>0</v>
      </c>
      <c r="AD68" s="24">
        <f t="shared" si="13"/>
        <v>0</v>
      </c>
      <c r="AE68" s="5">
        <f>IF(AND($C68&gt;=0,$C68&lt;=入力!$Q$38),AE$1,0)</f>
        <v>0</v>
      </c>
      <c r="AF68" s="3"/>
      <c r="AG68" s="3"/>
      <c r="AH68" s="3"/>
      <c r="AI68" s="3"/>
      <c r="AJ68" s="14"/>
      <c r="AK68" s="18">
        <f t="shared" si="7"/>
        <v>0</v>
      </c>
      <c r="AL68" s="24">
        <f t="shared" si="5"/>
        <v>0</v>
      </c>
      <c r="AM68" s="24">
        <f t="shared" si="14"/>
        <v>-1741.453</v>
      </c>
    </row>
    <row r="69" spans="2:39" x14ac:dyDescent="0.25">
      <c r="B69" s="5">
        <f t="shared" si="15"/>
        <v>82</v>
      </c>
      <c r="C69" s="3">
        <f t="shared" si="9"/>
        <v>56</v>
      </c>
      <c r="D69" s="34"/>
      <c r="E69" s="3">
        <f>IF(親1!D69&lt;=833.3+42*親1!AS69,IF(AND(C69&gt;=0,C69&lt;=3),1.5*12,IF(AND(C69&gt;3,C69&lt;=15),1*12,0)),IF(AND(C69&gt;=0,C69&lt;=15),0.5*12,0))</f>
        <v>0</v>
      </c>
      <c r="F69" s="3"/>
      <c r="G69" s="3"/>
      <c r="H69" s="3"/>
      <c r="I69" s="14"/>
      <c r="J69" s="24">
        <f t="shared" si="16"/>
        <v>0</v>
      </c>
      <c r="K69" s="5"/>
      <c r="L69" s="3"/>
      <c r="M69" s="3">
        <f>IF(AND($C69&gt;=0,$C69&lt;=入力!$Q$38),M$1,0)</f>
        <v>0</v>
      </c>
      <c r="N69" s="3">
        <f>IF(AND($C69&gt;=0,$C69&lt;=入力!$Q$38),N$1,0)</f>
        <v>0</v>
      </c>
      <c r="O69" s="3">
        <f>IF(AND($C69&gt;=0,$C69&lt;=入力!$Q$38),O$1,0)</f>
        <v>0</v>
      </c>
      <c r="P69" s="3">
        <f>IF(AND($C69&gt;=0,$C69&lt;=入力!$Q$38),P$1,0)</f>
        <v>0</v>
      </c>
      <c r="Q69" s="3">
        <f>IF(AND($C69&gt;=0,$C69&lt;=入力!$Q$38),Q$1,0)</f>
        <v>0</v>
      </c>
      <c r="R69" s="3"/>
      <c r="S69" s="14"/>
      <c r="T69" s="18">
        <f t="shared" si="10"/>
        <v>0</v>
      </c>
      <c r="U69" s="24">
        <f t="shared" si="11"/>
        <v>0</v>
      </c>
      <c r="V69" s="5"/>
      <c r="W69" s="3">
        <f>IF(AND($C69&gt;=10,$C69&lt;=入力!$Q$38),W$1,0)</f>
        <v>0</v>
      </c>
      <c r="X69" s="3">
        <f>IFERROR(VLOOKUP($C69,学費計算!$C:$R,学費計算!H$1,0),0)</f>
        <v>0</v>
      </c>
      <c r="Y69" s="3">
        <f>IFERROR(VLOOKUP($C69,学費計算!$C:$R,学費計算!I$1,0),0)</f>
        <v>0</v>
      </c>
      <c r="Z69" s="3">
        <f>IFERROR(VLOOKUP($C69,学費計算!$C:$R,学費計算!J$1,0),0)</f>
        <v>0</v>
      </c>
      <c r="AA69" s="3">
        <f>IFERROR(VLOOKUP($C69,学費計算!$C:$R,学費計算!K$1,0),0)</f>
        <v>0</v>
      </c>
      <c r="AB69" s="3"/>
      <c r="AC69" s="27">
        <f t="shared" si="12"/>
        <v>0</v>
      </c>
      <c r="AD69" s="24">
        <f t="shared" si="13"/>
        <v>0</v>
      </c>
      <c r="AE69" s="5">
        <f>IF(AND($C69&gt;=0,$C69&lt;=入力!$Q$38),AE$1,0)</f>
        <v>0</v>
      </c>
      <c r="AF69" s="3"/>
      <c r="AG69" s="3"/>
      <c r="AH69" s="3"/>
      <c r="AI69" s="3"/>
      <c r="AJ69" s="14"/>
      <c r="AK69" s="18">
        <f t="shared" si="7"/>
        <v>0</v>
      </c>
      <c r="AL69" s="24">
        <f t="shared" si="5"/>
        <v>0</v>
      </c>
      <c r="AM69" s="24">
        <f t="shared" si="14"/>
        <v>-1741.453</v>
      </c>
    </row>
    <row r="70" spans="2:39" ht="15" thickBot="1" x14ac:dyDescent="0.3">
      <c r="B70" s="5">
        <f t="shared" si="15"/>
        <v>83</v>
      </c>
      <c r="C70" s="3">
        <f t="shared" si="9"/>
        <v>57</v>
      </c>
      <c r="D70" s="34"/>
      <c r="E70" s="3">
        <f>IF(親1!D70&lt;=833.3+42*親1!AS70,IF(AND(C70&gt;=0,C70&lt;=3),1.5*12,IF(AND(C70&gt;3,C70&lt;=15),1*12,0)),IF(AND(C70&gt;=0,C70&lt;=15),0.5*12,0))</f>
        <v>0</v>
      </c>
      <c r="F70" s="3"/>
      <c r="G70" s="3"/>
      <c r="H70" s="3"/>
      <c r="I70" s="14"/>
      <c r="J70" s="24">
        <f t="shared" si="16"/>
        <v>0</v>
      </c>
      <c r="K70" s="5"/>
      <c r="L70" s="3"/>
      <c r="M70" s="3">
        <f>IF(AND($C70&gt;=0,$C70&lt;=入力!$Q$38),M$1,0)</f>
        <v>0</v>
      </c>
      <c r="N70" s="3">
        <f>IF(AND($C70&gt;=0,$C70&lt;=入力!$Q$38),N$1,0)</f>
        <v>0</v>
      </c>
      <c r="O70" s="3">
        <f>IF(AND($C70&gt;=0,$C70&lt;=入力!$Q$38),O$1,0)</f>
        <v>0</v>
      </c>
      <c r="P70" s="3">
        <f>IF(AND($C70&gt;=0,$C70&lt;=入力!$Q$38),P$1,0)</f>
        <v>0</v>
      </c>
      <c r="Q70" s="3">
        <f>IF(AND($C70&gt;=0,$C70&lt;=入力!$Q$38),Q$1,0)</f>
        <v>0</v>
      </c>
      <c r="R70" s="3"/>
      <c r="S70" s="14"/>
      <c r="T70" s="18">
        <f t="shared" ref="T70" si="17">SUM(K70:S70)</f>
        <v>0</v>
      </c>
      <c r="U70" s="24">
        <f t="shared" ref="U70" si="18">J70-T70</f>
        <v>0</v>
      </c>
      <c r="V70" s="5"/>
      <c r="W70" s="3">
        <f>IF(AND($C70&gt;=10,$C70&lt;=入力!$Q$38),W$1,0)</f>
        <v>0</v>
      </c>
      <c r="X70" s="3">
        <f>IFERROR(VLOOKUP($C70,学費計算!$C:$R,学費計算!H$1,0),0)</f>
        <v>0</v>
      </c>
      <c r="Y70" s="3">
        <f>IFERROR(VLOOKUP($C70,学費計算!$C:$R,学費計算!I$1,0),0)</f>
        <v>0</v>
      </c>
      <c r="Z70" s="3">
        <f>IFERROR(VLOOKUP($C70,学費計算!$C:$R,学費計算!J$1,0),0)</f>
        <v>0</v>
      </c>
      <c r="AA70" s="3">
        <f>IFERROR(VLOOKUP($C70,学費計算!$C:$R,学費計算!K$1,0),0)</f>
        <v>0</v>
      </c>
      <c r="AB70" s="3"/>
      <c r="AC70" s="27">
        <f t="shared" ref="AC70" si="19">SUM(V70:AB70)</f>
        <v>0</v>
      </c>
      <c r="AD70" s="24">
        <f t="shared" ref="AD70" si="20">U70-AC70</f>
        <v>0</v>
      </c>
      <c r="AE70" s="5">
        <f>IF(AND($C70&gt;=0,$C70&lt;=入力!$Q$38),AE$1,0)</f>
        <v>0</v>
      </c>
      <c r="AF70" s="3"/>
      <c r="AG70" s="3"/>
      <c r="AH70" s="3"/>
      <c r="AI70" s="3"/>
      <c r="AJ70" s="14"/>
      <c r="AK70" s="18">
        <f t="shared" si="7"/>
        <v>0</v>
      </c>
      <c r="AL70" s="24">
        <f t="shared" ref="AL70" si="21">AD70-AK70</f>
        <v>0</v>
      </c>
      <c r="AM70" s="25">
        <f t="shared" ref="AM70" si="22">AL70+AM69</f>
        <v>-1741.453</v>
      </c>
    </row>
    <row r="71" spans="2:39" ht="15" thickTop="1" x14ac:dyDescent="0.25">
      <c r="B71" s="35"/>
      <c r="C71" s="2"/>
      <c r="D71" s="36">
        <f t="shared" ref="D71:Q71" si="23">SUM(D6:D70)</f>
        <v>0</v>
      </c>
      <c r="E71" s="2">
        <f t="shared" si="23"/>
        <v>216</v>
      </c>
      <c r="F71" s="2">
        <f t="shared" si="23"/>
        <v>0</v>
      </c>
      <c r="G71" s="2"/>
      <c r="H71" s="2">
        <f t="shared" si="23"/>
        <v>0</v>
      </c>
      <c r="I71" s="37">
        <f t="shared" si="23"/>
        <v>0</v>
      </c>
      <c r="J71" s="38">
        <f t="shared" si="23"/>
        <v>216</v>
      </c>
      <c r="K71" s="35">
        <f t="shared" si="23"/>
        <v>0</v>
      </c>
      <c r="L71" s="2">
        <f t="shared" si="23"/>
        <v>0</v>
      </c>
      <c r="M71" s="2">
        <f t="shared" si="23"/>
        <v>338.58</v>
      </c>
      <c r="N71" s="2">
        <f t="shared" si="23"/>
        <v>125.39999999999995</v>
      </c>
      <c r="O71" s="2">
        <f t="shared" si="23"/>
        <v>31.349999999999987</v>
      </c>
      <c r="P71" s="2">
        <f t="shared" si="23"/>
        <v>25.080000000000005</v>
      </c>
      <c r="Q71" s="2">
        <f t="shared" si="23"/>
        <v>15.674999999999994</v>
      </c>
      <c r="R71" s="2"/>
      <c r="S71" s="2">
        <f t="shared" ref="S71:AK71" si="24">SUM(S6:S70)</f>
        <v>0</v>
      </c>
      <c r="T71" s="39">
        <f t="shared" si="24"/>
        <v>536.08500000000026</v>
      </c>
      <c r="U71" s="38">
        <f t="shared" si="24"/>
        <v>-320.08500000000015</v>
      </c>
      <c r="V71" s="2">
        <f t="shared" si="24"/>
        <v>0</v>
      </c>
      <c r="W71" s="2">
        <f t="shared" si="24"/>
        <v>21.6</v>
      </c>
      <c r="X71" s="2">
        <f t="shared" si="24"/>
        <v>72</v>
      </c>
      <c r="Y71" s="2">
        <f t="shared" si="24"/>
        <v>144</v>
      </c>
      <c r="Z71" s="2">
        <f t="shared" si="24"/>
        <v>637.76799999999992</v>
      </c>
      <c r="AA71" s="2">
        <f t="shared" si="24"/>
        <v>432</v>
      </c>
      <c r="AB71" s="2">
        <f t="shared" si="24"/>
        <v>0</v>
      </c>
      <c r="AC71" s="39">
        <f t="shared" si="24"/>
        <v>1307.3679999999999</v>
      </c>
      <c r="AD71" s="38">
        <f t="shared" si="24"/>
        <v>-1627.453</v>
      </c>
      <c r="AE71" s="35">
        <f t="shared" si="24"/>
        <v>114</v>
      </c>
      <c r="AF71" s="2">
        <f t="shared" si="24"/>
        <v>0</v>
      </c>
      <c r="AG71" s="2">
        <f t="shared" si="24"/>
        <v>0</v>
      </c>
      <c r="AH71" s="2">
        <f t="shared" si="24"/>
        <v>0</v>
      </c>
      <c r="AI71" s="2">
        <f t="shared" si="24"/>
        <v>0</v>
      </c>
      <c r="AJ71" s="37">
        <f t="shared" si="24"/>
        <v>0</v>
      </c>
      <c r="AK71" s="40">
        <f t="shared" si="24"/>
        <v>114</v>
      </c>
      <c r="AL71" s="38">
        <f>SUM(AL5:AL70)</f>
        <v>-1741.453</v>
      </c>
      <c r="AM71"/>
    </row>
    <row r="72" spans="2:39" x14ac:dyDescent="0.25">
      <c r="AM72"/>
    </row>
    <row r="73" spans="2:39" x14ac:dyDescent="0.25">
      <c r="AM73"/>
    </row>
    <row r="74" spans="2:39" x14ac:dyDescent="0.25">
      <c r="Z74" s="1">
        <f>SUMIF($C$6:$C$70,"&gt;=18",Z6:Z70)</f>
        <v>400.77019999999993</v>
      </c>
      <c r="AA74" s="1">
        <f>SUMIF($C$6:$C$70,"&gt;=18",AA6:AA70)</f>
        <v>432</v>
      </c>
      <c r="AM74"/>
    </row>
  </sheetData>
  <phoneticPr fontId="2"/>
  <pageMargins left="0.7" right="0.7" top="0.75" bottom="0.75" header="0.3" footer="0.3"/>
  <pageSetup paperSize="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B1:AQ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Z74" sqref="Z74:AA74"/>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4" width="5.125" style="1" bestFit="1" customWidth="1"/>
    <col min="25" max="25" width="6.25" style="1" bestFit="1" customWidth="1"/>
    <col min="26"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s>
  <sheetData>
    <row r="1" spans="2:43" x14ac:dyDescent="0.25">
      <c r="M1" s="3">
        <f>IF($C$30&gt;0,入力!AD13*12*(1+入力!$AD$16),0)</f>
        <v>0</v>
      </c>
      <c r="N1" s="3">
        <f>IF($C$30&gt;0,入力!AE13*12*(1+入力!$AD$16),0)</f>
        <v>0</v>
      </c>
      <c r="O1" s="3">
        <f>IF($C$30&gt;0,入力!AF13*12*(1+入力!$AD$16),0)</f>
        <v>0</v>
      </c>
      <c r="P1" s="3">
        <f>IF($C$30&gt;0,入力!AG13*12*(1+入力!$AD$16),0)</f>
        <v>0</v>
      </c>
      <c r="Q1" s="3">
        <f>IF($C$30&gt;0,入力!AH13*12*(1+入力!$AD$16),0)</f>
        <v>0</v>
      </c>
      <c r="W1" s="3">
        <f>IF($C$30&gt;0,入力!AJ13*12,0)</f>
        <v>0</v>
      </c>
      <c r="AE1" s="1">
        <f>入力!P35*12</f>
        <v>6</v>
      </c>
    </row>
    <row r="2" spans="2:43"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2:43"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2:43"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297</v>
      </c>
      <c r="Y4" s="67" t="s">
        <v>168</v>
      </c>
      <c r="Z4" s="67" t="s">
        <v>171</v>
      </c>
      <c r="AA4" s="67" t="s">
        <v>444</v>
      </c>
      <c r="AB4" s="68"/>
      <c r="AC4" s="69"/>
      <c r="AD4" s="65"/>
      <c r="AE4" s="11" t="s">
        <v>162</v>
      </c>
      <c r="AF4" s="12" t="s">
        <v>29</v>
      </c>
      <c r="AG4" s="12" t="s">
        <v>30</v>
      </c>
      <c r="AH4" s="12" t="s">
        <v>31</v>
      </c>
      <c r="AI4" s="12" t="s">
        <v>214</v>
      </c>
      <c r="AJ4" s="13" t="s">
        <v>274</v>
      </c>
      <c r="AK4" s="17" t="s">
        <v>35</v>
      </c>
      <c r="AL4" s="23"/>
      <c r="AM4" s="23"/>
    </row>
    <row r="5" spans="2:43"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2:43" x14ac:dyDescent="0.25">
      <c r="B6" s="5">
        <v>19</v>
      </c>
      <c r="C6" s="3">
        <f>IF(入力!$R$11="",-100,入力!$R$11)</f>
        <v>-100</v>
      </c>
      <c r="D6" s="34"/>
      <c r="E6" s="3">
        <f>IF(親1!D6&lt;=833.3+42*親1!AS6,IF(AND(C6&gt;=0,C6&lt;=3),1.5*12,IF(AND(C6&gt;3,C6&lt;=15),1*12,0)),IF(AND(C6&gt;=0,C6&lt;=15),0.5*12,0))</f>
        <v>0</v>
      </c>
      <c r="F6" s="3"/>
      <c r="G6" s="3"/>
      <c r="H6" s="3"/>
      <c r="I6" s="14"/>
      <c r="J6" s="24">
        <f t="shared" ref="J6:J39" si="0">SUM(E6:I6)</f>
        <v>0</v>
      </c>
      <c r="K6" s="5"/>
      <c r="L6" s="3"/>
      <c r="M6" s="3">
        <f>IF(AND($C6&gt;=0,$C6&lt;=入力!$R$38),M$1,0)</f>
        <v>0</v>
      </c>
      <c r="N6" s="3">
        <f>IF(AND($C6&gt;=0,$C6&lt;=入力!$R$38),N$1,0)</f>
        <v>0</v>
      </c>
      <c r="O6" s="3">
        <f>IF(AND($C6&gt;=0,$C6&lt;=入力!$R$38),O$1,0)</f>
        <v>0</v>
      </c>
      <c r="P6" s="3">
        <f>IF(AND($C6&gt;=0,$C6&lt;=入力!$R$38),P$1,0)</f>
        <v>0</v>
      </c>
      <c r="Q6" s="3">
        <f>IF(AND($C6&gt;=0,$C6&lt;=入力!$R$38),Q$1,0)</f>
        <v>0</v>
      </c>
      <c r="R6" s="3"/>
      <c r="S6" s="14"/>
      <c r="T6" s="18">
        <f t="shared" ref="T6:T37" si="1">SUM(K6:S6)</f>
        <v>0</v>
      </c>
      <c r="U6" s="24">
        <f t="shared" ref="U6:U69" si="2">J6-T6</f>
        <v>0</v>
      </c>
      <c r="V6" s="5"/>
      <c r="W6" s="3">
        <f>IF(AND($C6&gt;=10,$C6&lt;=入力!$R$38),W$1,0)</f>
        <v>0</v>
      </c>
      <c r="X6" s="3">
        <f>IFERROR(VLOOKUP($C6,学費計算!$C:$R,学費計算!H$1,0),0)</f>
        <v>0</v>
      </c>
      <c r="Y6" s="3">
        <f>IFERROR(VLOOKUP($C6,学費計算!$C:$R,学費計算!I$1,0),0)</f>
        <v>0</v>
      </c>
      <c r="Z6" s="3">
        <f>IFERROR(VLOOKUP($C6,学費計算!$C:$R,学費計算!J$1,0),0)</f>
        <v>0</v>
      </c>
      <c r="AA6" s="3">
        <f>IFERROR(VLOOKUP($C6,学費計算!$C:$R,学費計算!K$1,0),0)</f>
        <v>0</v>
      </c>
      <c r="AB6" s="14"/>
      <c r="AC6" s="18">
        <f t="shared" ref="AC6:AC69" si="3">SUM(V6:AB6)</f>
        <v>0</v>
      </c>
      <c r="AD6" s="24">
        <f t="shared" ref="AD6:AD69" si="4">U6-AC6</f>
        <v>0</v>
      </c>
      <c r="AE6" s="5">
        <f>IF(AND($C6&gt;=0,$C6&lt;=入力!$R$36),AE$1,0)</f>
        <v>0</v>
      </c>
      <c r="AF6" s="3"/>
      <c r="AG6" s="3"/>
      <c r="AH6" s="3"/>
      <c r="AI6" s="3"/>
      <c r="AJ6" s="14"/>
      <c r="AK6" s="18">
        <f>SUM(AE6:AJ6)</f>
        <v>0</v>
      </c>
      <c r="AL6" s="24">
        <f t="shared" ref="AL6:AL69" si="5">AD6-AK6</f>
        <v>0</v>
      </c>
      <c r="AM6" s="24">
        <f t="shared" ref="AM6:AM37" si="6">AL6+AM5</f>
        <v>0</v>
      </c>
    </row>
    <row r="7" spans="2:43" x14ac:dyDescent="0.25">
      <c r="B7" s="5">
        <f>B6+1</f>
        <v>20</v>
      </c>
      <c r="C7" s="3">
        <f>C6+1</f>
        <v>-99</v>
      </c>
      <c r="D7" s="34"/>
      <c r="E7" s="3">
        <f>IF(親1!D7&lt;=833.3+42*親1!AS7,IF(AND(C7&gt;=0,C7&lt;=3),1.5*12,IF(AND(C7&gt;3,C7&lt;=15),1*12,0)),IF(AND(C7&gt;=0,C7&lt;=15),0.5*12,0))</f>
        <v>0</v>
      </c>
      <c r="F7" s="3"/>
      <c r="G7" s="3"/>
      <c r="H7" s="3"/>
      <c r="I7" s="14"/>
      <c r="J7" s="24">
        <f t="shared" si="0"/>
        <v>0</v>
      </c>
      <c r="K7" s="5"/>
      <c r="L7" s="3"/>
      <c r="M7" s="3">
        <f>IF(AND($C7&gt;=0,$C7&lt;=入力!$R$38),M$1,0)</f>
        <v>0</v>
      </c>
      <c r="N7" s="3">
        <f>IF(AND($C7&gt;=0,$C7&lt;=入力!$R$38),N$1,0)</f>
        <v>0</v>
      </c>
      <c r="O7" s="3">
        <f>IF(AND($C7&gt;=0,$C7&lt;=入力!$R$38),O$1,0)</f>
        <v>0</v>
      </c>
      <c r="P7" s="3">
        <f>IF(AND($C7&gt;=0,$C7&lt;=入力!$R$38),P$1,0)</f>
        <v>0</v>
      </c>
      <c r="Q7" s="3">
        <f>IF(AND($C7&gt;=0,$C7&lt;=入力!$R$38),Q$1,0)</f>
        <v>0</v>
      </c>
      <c r="R7" s="3"/>
      <c r="S7" s="14"/>
      <c r="T7" s="18">
        <f t="shared" si="1"/>
        <v>0</v>
      </c>
      <c r="U7" s="24">
        <f t="shared" si="2"/>
        <v>0</v>
      </c>
      <c r="V7" s="5"/>
      <c r="W7" s="3">
        <f>IF(AND($C7&gt;=10,$C7&lt;=入力!$R$38),W$1,0)</f>
        <v>0</v>
      </c>
      <c r="X7" s="3">
        <f>IFERROR(VLOOKUP($C7,学費計算!$C:$R,学費計算!H$1,0),0)</f>
        <v>0</v>
      </c>
      <c r="Y7" s="3">
        <f>IFERROR(VLOOKUP($C7,学費計算!$C:$R,学費計算!I$1,0),0)</f>
        <v>0</v>
      </c>
      <c r="Z7" s="3">
        <f>IFERROR(VLOOKUP($C7,学費計算!$C:$R,学費計算!J$1,0),0)</f>
        <v>0</v>
      </c>
      <c r="AA7" s="3">
        <f>IFERROR(VLOOKUP($C7,学費計算!$C:$R,学費計算!K$1,0),0)</f>
        <v>0</v>
      </c>
      <c r="AB7" s="14"/>
      <c r="AC7" s="18">
        <f t="shared" si="3"/>
        <v>0</v>
      </c>
      <c r="AD7" s="24">
        <f t="shared" si="4"/>
        <v>0</v>
      </c>
      <c r="AE7" s="5">
        <f>IF(AND($C7&gt;=0,$C7&lt;=入力!$R$36),AE$1,0)</f>
        <v>0</v>
      </c>
      <c r="AF7" s="3"/>
      <c r="AG7" s="3"/>
      <c r="AH7" s="3"/>
      <c r="AI7" s="3"/>
      <c r="AJ7" s="14"/>
      <c r="AK7" s="18">
        <f t="shared" ref="AK7:AK70" si="7">SUM(AE7:AJ7)</f>
        <v>0</v>
      </c>
      <c r="AL7" s="24">
        <f t="shared" si="5"/>
        <v>0</v>
      </c>
      <c r="AM7" s="24">
        <f t="shared" si="6"/>
        <v>0</v>
      </c>
    </row>
    <row r="8" spans="2:43" x14ac:dyDescent="0.25">
      <c r="B8" s="5">
        <f t="shared" ref="B8:B39" si="8">B7+1</f>
        <v>21</v>
      </c>
      <c r="C8" s="3">
        <f t="shared" ref="C8:C70" si="9">C7+1</f>
        <v>-98</v>
      </c>
      <c r="D8" s="34"/>
      <c r="E8" s="3">
        <f>IF(親1!D8&lt;=833.3+42*親1!AS8,IF(AND(C8&gt;=0,C8&lt;=3),1.5*12,IF(AND(C8&gt;3,C8&lt;=15),1*12,0)),IF(AND(C8&gt;=0,C8&lt;=15),0.5*12,0))</f>
        <v>0</v>
      </c>
      <c r="F8" s="3"/>
      <c r="G8" s="3"/>
      <c r="H8" s="3"/>
      <c r="I8" s="14"/>
      <c r="J8" s="24">
        <f t="shared" si="0"/>
        <v>0</v>
      </c>
      <c r="K8" s="5"/>
      <c r="L8" s="3"/>
      <c r="M8" s="3">
        <f>IF(AND($C8&gt;=0,$C8&lt;=入力!$R$38),M$1,0)</f>
        <v>0</v>
      </c>
      <c r="N8" s="3">
        <f>IF(AND($C8&gt;=0,$C8&lt;=入力!$R$38),N$1,0)</f>
        <v>0</v>
      </c>
      <c r="O8" s="3">
        <f>IF(AND($C8&gt;=0,$C8&lt;=入力!$R$38),O$1,0)</f>
        <v>0</v>
      </c>
      <c r="P8" s="3">
        <f>IF(AND($C8&gt;=0,$C8&lt;=入力!$R$38),P$1,0)</f>
        <v>0</v>
      </c>
      <c r="Q8" s="3">
        <f>IF(AND($C8&gt;=0,$C8&lt;=入力!$R$38),Q$1,0)</f>
        <v>0</v>
      </c>
      <c r="R8" s="3"/>
      <c r="S8" s="14"/>
      <c r="T8" s="18">
        <f t="shared" si="1"/>
        <v>0</v>
      </c>
      <c r="U8" s="24">
        <f t="shared" si="2"/>
        <v>0</v>
      </c>
      <c r="V8" s="5"/>
      <c r="W8" s="3">
        <f>IF(AND($C8&gt;=10,$C8&lt;=入力!$R$38),W$1,0)</f>
        <v>0</v>
      </c>
      <c r="X8" s="3">
        <f>IFERROR(VLOOKUP($C8,学費計算!$C:$R,学費計算!H$1,0),0)</f>
        <v>0</v>
      </c>
      <c r="Y8" s="3">
        <f>IFERROR(VLOOKUP($C8,学費計算!$C:$R,学費計算!I$1,0),0)</f>
        <v>0</v>
      </c>
      <c r="Z8" s="3">
        <f>IFERROR(VLOOKUP($C8,学費計算!$C:$R,学費計算!J$1,0),0)</f>
        <v>0</v>
      </c>
      <c r="AA8" s="3">
        <f>IFERROR(VLOOKUP($C8,学費計算!$C:$R,学費計算!K$1,0),0)</f>
        <v>0</v>
      </c>
      <c r="AB8" s="14"/>
      <c r="AC8" s="18">
        <f t="shared" si="3"/>
        <v>0</v>
      </c>
      <c r="AD8" s="24">
        <f t="shared" si="4"/>
        <v>0</v>
      </c>
      <c r="AE8" s="5">
        <f>IF(AND($C8&gt;=0,$C8&lt;=入力!$R$36),AE$1,0)</f>
        <v>0</v>
      </c>
      <c r="AF8" s="3"/>
      <c r="AG8" s="3"/>
      <c r="AH8" s="3"/>
      <c r="AI8" s="3"/>
      <c r="AJ8" s="14"/>
      <c r="AK8" s="18">
        <f t="shared" si="7"/>
        <v>0</v>
      </c>
      <c r="AL8" s="24">
        <f t="shared" si="5"/>
        <v>0</v>
      </c>
      <c r="AM8" s="24">
        <f t="shared" si="6"/>
        <v>0</v>
      </c>
    </row>
    <row r="9" spans="2:43" x14ac:dyDescent="0.25">
      <c r="B9" s="5">
        <f t="shared" si="8"/>
        <v>22</v>
      </c>
      <c r="C9" s="3">
        <f t="shared" si="9"/>
        <v>-97</v>
      </c>
      <c r="D9" s="34"/>
      <c r="E9" s="3">
        <f>IF(親1!D9&lt;=833.3+42*親1!AS9,IF(AND(C9&gt;=0,C9&lt;=3),1.5*12,IF(AND(C9&gt;3,C9&lt;=15),1*12,0)),IF(AND(C9&gt;=0,C9&lt;=15),0.5*12,0))</f>
        <v>0</v>
      </c>
      <c r="F9" s="3"/>
      <c r="G9" s="3"/>
      <c r="H9" s="3"/>
      <c r="I9" s="14"/>
      <c r="J9" s="24">
        <f t="shared" si="0"/>
        <v>0</v>
      </c>
      <c r="K9" s="5"/>
      <c r="L9" s="3"/>
      <c r="M9" s="3">
        <f>IF(AND($C9&gt;=0,$C9&lt;=入力!$R$38),M$1,0)</f>
        <v>0</v>
      </c>
      <c r="N9" s="3">
        <f>IF(AND($C9&gt;=0,$C9&lt;=入力!$R$38),N$1,0)</f>
        <v>0</v>
      </c>
      <c r="O9" s="3">
        <f>IF(AND($C9&gt;=0,$C9&lt;=入力!$R$38),O$1,0)</f>
        <v>0</v>
      </c>
      <c r="P9" s="3">
        <f>IF(AND($C9&gt;=0,$C9&lt;=入力!$R$38),P$1,0)</f>
        <v>0</v>
      </c>
      <c r="Q9" s="3">
        <f>IF(AND($C9&gt;=0,$C9&lt;=入力!$R$38),Q$1,0)</f>
        <v>0</v>
      </c>
      <c r="R9" s="3"/>
      <c r="S9" s="14"/>
      <c r="T9" s="18">
        <f t="shared" si="1"/>
        <v>0</v>
      </c>
      <c r="U9" s="24">
        <f t="shared" si="2"/>
        <v>0</v>
      </c>
      <c r="V9" s="5"/>
      <c r="W9" s="3">
        <f>IF(AND($C9&gt;=10,$C9&lt;=入力!$R$38),W$1,0)</f>
        <v>0</v>
      </c>
      <c r="X9" s="3">
        <f>IFERROR(VLOOKUP($C9,学費計算!$C:$R,学費計算!H$1,0),0)</f>
        <v>0</v>
      </c>
      <c r="Y9" s="3">
        <f>IFERROR(VLOOKUP($C9,学費計算!$C:$R,学費計算!I$1,0),0)</f>
        <v>0</v>
      </c>
      <c r="Z9" s="3">
        <f>IFERROR(VLOOKUP($C9,学費計算!$C:$R,学費計算!J$1,0),0)</f>
        <v>0</v>
      </c>
      <c r="AA9" s="3">
        <f>IFERROR(VLOOKUP($C9,学費計算!$C:$R,学費計算!K$1,0),0)</f>
        <v>0</v>
      </c>
      <c r="AB9" s="14"/>
      <c r="AC9" s="18">
        <f t="shared" si="3"/>
        <v>0</v>
      </c>
      <c r="AD9" s="24">
        <f t="shared" si="4"/>
        <v>0</v>
      </c>
      <c r="AE9" s="5">
        <f>IF(AND($C9&gt;=0,$C9&lt;=入力!$R$36),AE$1,0)</f>
        <v>0</v>
      </c>
      <c r="AF9" s="3"/>
      <c r="AG9" s="3"/>
      <c r="AH9" s="3"/>
      <c r="AI9" s="3"/>
      <c r="AJ9" s="14"/>
      <c r="AK9" s="18">
        <f t="shared" si="7"/>
        <v>0</v>
      </c>
      <c r="AL9" s="24">
        <f t="shared" si="5"/>
        <v>0</v>
      </c>
      <c r="AM9" s="24">
        <f t="shared" si="6"/>
        <v>0</v>
      </c>
    </row>
    <row r="10" spans="2:43" x14ac:dyDescent="0.25">
      <c r="B10" s="5">
        <f t="shared" si="8"/>
        <v>23</v>
      </c>
      <c r="C10" s="3">
        <f t="shared" si="9"/>
        <v>-96</v>
      </c>
      <c r="D10" s="34"/>
      <c r="E10" s="3">
        <f>IF(親1!D10&lt;=833.3+42*親1!AS10,IF(AND(C10&gt;=0,C10&lt;=3),1.5*12,IF(AND(C10&gt;3,C10&lt;=15),1*12,0)),IF(AND(C10&gt;=0,C10&lt;=15),0.5*12,0))</f>
        <v>0</v>
      </c>
      <c r="F10" s="3"/>
      <c r="G10" s="3"/>
      <c r="H10" s="3"/>
      <c r="I10" s="14"/>
      <c r="J10" s="24">
        <f t="shared" si="0"/>
        <v>0</v>
      </c>
      <c r="K10" s="5"/>
      <c r="L10" s="3"/>
      <c r="M10" s="3">
        <f>IF(AND($C10&gt;=0,$C10&lt;=入力!$R$38),M$1,0)</f>
        <v>0</v>
      </c>
      <c r="N10" s="3">
        <f>IF(AND($C10&gt;=0,$C10&lt;=入力!$R$38),N$1,0)</f>
        <v>0</v>
      </c>
      <c r="O10" s="3">
        <f>IF(AND($C10&gt;=0,$C10&lt;=入力!$R$38),O$1,0)</f>
        <v>0</v>
      </c>
      <c r="P10" s="3">
        <f>IF(AND($C10&gt;=0,$C10&lt;=入力!$R$38),P$1,0)</f>
        <v>0</v>
      </c>
      <c r="Q10" s="3">
        <f>IF(AND($C10&gt;=0,$C10&lt;=入力!$R$38),Q$1,0)</f>
        <v>0</v>
      </c>
      <c r="R10" s="3"/>
      <c r="S10" s="14"/>
      <c r="T10" s="18">
        <f t="shared" si="1"/>
        <v>0</v>
      </c>
      <c r="U10" s="24">
        <f t="shared" si="2"/>
        <v>0</v>
      </c>
      <c r="V10" s="5"/>
      <c r="W10" s="3">
        <f>IF(AND($C10&gt;=10,$C10&lt;=入力!$R$38),W$1,0)</f>
        <v>0</v>
      </c>
      <c r="X10" s="3">
        <f>IFERROR(VLOOKUP($C10,学費計算!$C:$R,学費計算!H$1,0),0)</f>
        <v>0</v>
      </c>
      <c r="Y10" s="3">
        <f>IFERROR(VLOOKUP($C10,学費計算!$C:$R,学費計算!I$1,0),0)</f>
        <v>0</v>
      </c>
      <c r="Z10" s="3">
        <f>IFERROR(VLOOKUP($C10,学費計算!$C:$R,学費計算!J$1,0),0)</f>
        <v>0</v>
      </c>
      <c r="AA10" s="3">
        <f>IFERROR(VLOOKUP($C10,学費計算!$C:$R,学費計算!K$1,0),0)</f>
        <v>0</v>
      </c>
      <c r="AB10" s="14"/>
      <c r="AC10" s="18">
        <f t="shared" si="3"/>
        <v>0</v>
      </c>
      <c r="AD10" s="24">
        <f t="shared" si="4"/>
        <v>0</v>
      </c>
      <c r="AE10" s="5">
        <f>IF(AND($C10&gt;=0,$C10&lt;=入力!$R$36),AE$1,0)</f>
        <v>0</v>
      </c>
      <c r="AF10" s="3"/>
      <c r="AG10" s="3"/>
      <c r="AH10" s="3"/>
      <c r="AI10" s="3"/>
      <c r="AJ10" s="14"/>
      <c r="AK10" s="18">
        <f t="shared" si="7"/>
        <v>0</v>
      </c>
      <c r="AL10" s="24">
        <f t="shared" si="5"/>
        <v>0</v>
      </c>
      <c r="AM10" s="24">
        <f t="shared" si="6"/>
        <v>0</v>
      </c>
    </row>
    <row r="11" spans="2:43" x14ac:dyDescent="0.25">
      <c r="B11" s="5">
        <f t="shared" si="8"/>
        <v>24</v>
      </c>
      <c r="C11" s="3">
        <f t="shared" si="9"/>
        <v>-95</v>
      </c>
      <c r="D11" s="34"/>
      <c r="E11" s="3">
        <f>IF(親1!D11&lt;=833.3+42*親1!AS11,IF(AND(C11&gt;=0,C11&lt;=3),1.5*12,IF(AND(C11&gt;3,C11&lt;=15),1*12,0)),IF(AND(C11&gt;=0,C11&lt;=15),0.5*12,0))</f>
        <v>0</v>
      </c>
      <c r="F11" s="3"/>
      <c r="G11" s="3"/>
      <c r="H11" s="3"/>
      <c r="I11" s="14"/>
      <c r="J11" s="24">
        <f t="shared" si="0"/>
        <v>0</v>
      </c>
      <c r="K11" s="5"/>
      <c r="L11" s="3"/>
      <c r="M11" s="3">
        <f>IF(AND($C11&gt;=0,$C11&lt;=入力!$R$38),M$1,0)</f>
        <v>0</v>
      </c>
      <c r="N11" s="3">
        <f>IF(AND($C11&gt;=0,$C11&lt;=入力!$R$38),N$1,0)</f>
        <v>0</v>
      </c>
      <c r="O11" s="3">
        <f>IF(AND($C11&gt;=0,$C11&lt;=入力!$R$38),O$1,0)</f>
        <v>0</v>
      </c>
      <c r="P11" s="3">
        <f>IF(AND($C11&gt;=0,$C11&lt;=入力!$R$38),P$1,0)</f>
        <v>0</v>
      </c>
      <c r="Q11" s="3">
        <f>IF(AND($C11&gt;=0,$C11&lt;=入力!$R$38),Q$1,0)</f>
        <v>0</v>
      </c>
      <c r="R11" s="3"/>
      <c r="S11" s="14"/>
      <c r="T11" s="18">
        <f t="shared" si="1"/>
        <v>0</v>
      </c>
      <c r="U11" s="24">
        <f t="shared" si="2"/>
        <v>0</v>
      </c>
      <c r="V11" s="5"/>
      <c r="W11" s="3">
        <f>IF(AND($C11&gt;=10,$C11&lt;=入力!$R$38),W$1,0)</f>
        <v>0</v>
      </c>
      <c r="X11" s="3">
        <f>IFERROR(VLOOKUP($C11,学費計算!$C:$R,学費計算!H$1,0),0)</f>
        <v>0</v>
      </c>
      <c r="Y11" s="3">
        <f>IFERROR(VLOOKUP($C11,学費計算!$C:$R,学費計算!I$1,0),0)</f>
        <v>0</v>
      </c>
      <c r="Z11" s="3">
        <f>IFERROR(VLOOKUP($C11,学費計算!$C:$R,学費計算!J$1,0),0)</f>
        <v>0</v>
      </c>
      <c r="AA11" s="3">
        <f>IFERROR(VLOOKUP($C11,学費計算!$C:$R,学費計算!K$1,0),0)</f>
        <v>0</v>
      </c>
      <c r="AB11" s="14"/>
      <c r="AC11" s="18">
        <f t="shared" si="3"/>
        <v>0</v>
      </c>
      <c r="AD11" s="24">
        <f t="shared" si="4"/>
        <v>0</v>
      </c>
      <c r="AE11" s="5">
        <f>IF(AND($C11&gt;=0,$C11&lt;=入力!$R$36),AE$1,0)</f>
        <v>0</v>
      </c>
      <c r="AF11" s="3"/>
      <c r="AG11" s="3"/>
      <c r="AH11" s="3"/>
      <c r="AI11" s="3"/>
      <c r="AJ11" s="14"/>
      <c r="AK11" s="18">
        <f t="shared" si="7"/>
        <v>0</v>
      </c>
      <c r="AL11" s="24">
        <f t="shared" si="5"/>
        <v>0</v>
      </c>
      <c r="AM11" s="24">
        <f t="shared" si="6"/>
        <v>0</v>
      </c>
    </row>
    <row r="12" spans="2:43" x14ac:dyDescent="0.25">
      <c r="B12" s="5">
        <f t="shared" si="8"/>
        <v>25</v>
      </c>
      <c r="C12" s="3">
        <f t="shared" si="9"/>
        <v>-94</v>
      </c>
      <c r="D12" s="34"/>
      <c r="E12" s="3">
        <f>IF(親1!D12&lt;=833.3+42*親1!AS12,IF(AND(C12&gt;=0,C12&lt;=3),1.5*12,IF(AND(C12&gt;3,C12&lt;=15),1*12,0)),IF(AND(C12&gt;=0,C12&lt;=15),0.5*12,0))</f>
        <v>0</v>
      </c>
      <c r="F12" s="3"/>
      <c r="G12" s="3"/>
      <c r="H12" s="3"/>
      <c r="I12" s="14"/>
      <c r="J12" s="24">
        <f t="shared" si="0"/>
        <v>0</v>
      </c>
      <c r="K12" s="5"/>
      <c r="L12" s="3"/>
      <c r="M12" s="3">
        <f>IF(AND($C12&gt;=0,$C12&lt;=入力!$R$38),M$1,0)</f>
        <v>0</v>
      </c>
      <c r="N12" s="3">
        <f>IF(AND($C12&gt;=0,$C12&lt;=入力!$R$38),N$1,0)</f>
        <v>0</v>
      </c>
      <c r="O12" s="3">
        <f>IF(AND($C12&gt;=0,$C12&lt;=入力!$R$38),O$1,0)</f>
        <v>0</v>
      </c>
      <c r="P12" s="3">
        <f>IF(AND($C12&gt;=0,$C12&lt;=入力!$R$38),P$1,0)</f>
        <v>0</v>
      </c>
      <c r="Q12" s="3">
        <f>IF(AND($C12&gt;=0,$C12&lt;=入力!$R$38),Q$1,0)</f>
        <v>0</v>
      </c>
      <c r="R12" s="3"/>
      <c r="S12" s="14"/>
      <c r="T12" s="18">
        <f t="shared" si="1"/>
        <v>0</v>
      </c>
      <c r="U12" s="24">
        <f t="shared" si="2"/>
        <v>0</v>
      </c>
      <c r="V12" s="5"/>
      <c r="W12" s="3">
        <f>IF(AND($C12&gt;=10,$C12&lt;=入力!$R$38),W$1,0)</f>
        <v>0</v>
      </c>
      <c r="X12" s="3">
        <f>IFERROR(VLOOKUP($C12,学費計算!$C:$R,学費計算!H$1,0),0)</f>
        <v>0</v>
      </c>
      <c r="Y12" s="3">
        <f>IFERROR(VLOOKUP($C12,学費計算!$C:$R,学費計算!I$1,0),0)</f>
        <v>0</v>
      </c>
      <c r="Z12" s="3">
        <f>IFERROR(VLOOKUP($C12,学費計算!$C:$R,学費計算!J$1,0),0)</f>
        <v>0</v>
      </c>
      <c r="AA12" s="3">
        <f>IFERROR(VLOOKUP($C12,学費計算!$C:$R,学費計算!K$1,0),0)</f>
        <v>0</v>
      </c>
      <c r="AB12" s="14"/>
      <c r="AC12" s="18">
        <f t="shared" si="3"/>
        <v>0</v>
      </c>
      <c r="AD12" s="24">
        <f t="shared" si="4"/>
        <v>0</v>
      </c>
      <c r="AE12" s="5">
        <f>IF(AND($C12&gt;=0,$C12&lt;=入力!$R$36),AE$1,0)</f>
        <v>0</v>
      </c>
      <c r="AF12" s="3"/>
      <c r="AG12" s="3"/>
      <c r="AH12" s="3"/>
      <c r="AI12" s="3"/>
      <c r="AJ12" s="14"/>
      <c r="AK12" s="18">
        <f t="shared" si="7"/>
        <v>0</v>
      </c>
      <c r="AL12" s="24">
        <f t="shared" si="5"/>
        <v>0</v>
      </c>
      <c r="AM12" s="24">
        <f t="shared" si="6"/>
        <v>0</v>
      </c>
    </row>
    <row r="13" spans="2:43" x14ac:dyDescent="0.25">
      <c r="B13" s="5">
        <f t="shared" si="8"/>
        <v>26</v>
      </c>
      <c r="C13" s="3">
        <f t="shared" si="9"/>
        <v>-93</v>
      </c>
      <c r="D13" s="34"/>
      <c r="E13" s="3">
        <f>IF(親1!D13&lt;=833.3+42*親1!AS13,IF(AND(C13&gt;=0,C13&lt;=3),1.5*12,IF(AND(C13&gt;3,C13&lt;=15),1*12,0)),IF(AND(C13&gt;=0,C13&lt;=15),0.5*12,0))</f>
        <v>0</v>
      </c>
      <c r="F13" s="3"/>
      <c r="G13" s="3"/>
      <c r="H13" s="3"/>
      <c r="I13" s="14"/>
      <c r="J13" s="24">
        <f t="shared" si="0"/>
        <v>0</v>
      </c>
      <c r="K13" s="5"/>
      <c r="L13" s="3"/>
      <c r="M13" s="3">
        <f>IF(AND($C13&gt;=0,$C13&lt;=入力!$R$38),M$1,0)</f>
        <v>0</v>
      </c>
      <c r="N13" s="3">
        <f>IF(AND($C13&gt;=0,$C13&lt;=入力!$R$38),N$1,0)</f>
        <v>0</v>
      </c>
      <c r="O13" s="3">
        <f>IF(AND($C13&gt;=0,$C13&lt;=入力!$R$38),O$1,0)</f>
        <v>0</v>
      </c>
      <c r="P13" s="3">
        <f>IF(AND($C13&gt;=0,$C13&lt;=入力!$R$38),P$1,0)</f>
        <v>0</v>
      </c>
      <c r="Q13" s="3">
        <f>IF(AND($C13&gt;=0,$C13&lt;=入力!$R$38),Q$1,0)</f>
        <v>0</v>
      </c>
      <c r="R13" s="3"/>
      <c r="S13" s="14"/>
      <c r="T13" s="18">
        <f t="shared" si="1"/>
        <v>0</v>
      </c>
      <c r="U13" s="24">
        <f t="shared" si="2"/>
        <v>0</v>
      </c>
      <c r="V13" s="5"/>
      <c r="W13" s="3">
        <f>IF(AND($C13&gt;=10,$C13&lt;=入力!$R$38),W$1,0)</f>
        <v>0</v>
      </c>
      <c r="X13" s="3">
        <f>IFERROR(VLOOKUP($C13,学費計算!$C:$R,学費計算!H$1,0),0)</f>
        <v>0</v>
      </c>
      <c r="Y13" s="3">
        <f>IFERROR(VLOOKUP($C13,学費計算!$C:$R,学費計算!I$1,0),0)</f>
        <v>0</v>
      </c>
      <c r="Z13" s="3">
        <f>IFERROR(VLOOKUP($C13,学費計算!$C:$R,学費計算!J$1,0),0)</f>
        <v>0</v>
      </c>
      <c r="AA13" s="3">
        <f>IFERROR(VLOOKUP($C13,学費計算!$C:$R,学費計算!K$1,0),0)</f>
        <v>0</v>
      </c>
      <c r="AB13" s="14"/>
      <c r="AC13" s="18">
        <f t="shared" si="3"/>
        <v>0</v>
      </c>
      <c r="AD13" s="24">
        <f t="shared" si="4"/>
        <v>0</v>
      </c>
      <c r="AE13" s="5">
        <f>IF(AND($C13&gt;=0,$C13&lt;=入力!$R$36),AE$1,0)</f>
        <v>0</v>
      </c>
      <c r="AF13" s="3"/>
      <c r="AG13" s="3"/>
      <c r="AH13" s="3"/>
      <c r="AI13" s="3"/>
      <c r="AJ13" s="14"/>
      <c r="AK13" s="18">
        <f t="shared" si="7"/>
        <v>0</v>
      </c>
      <c r="AL13" s="24">
        <f t="shared" si="5"/>
        <v>0</v>
      </c>
      <c r="AM13" s="24">
        <f t="shared" si="6"/>
        <v>0</v>
      </c>
    </row>
    <row r="14" spans="2:43" x14ac:dyDescent="0.25">
      <c r="B14" s="5">
        <f t="shared" si="8"/>
        <v>27</v>
      </c>
      <c r="C14" s="3">
        <f t="shared" si="9"/>
        <v>-92</v>
      </c>
      <c r="D14" s="34"/>
      <c r="E14" s="3">
        <f>IF(親1!D14&lt;=833.3+42*親1!AS14,IF(AND(C14&gt;=0,C14&lt;=3),1.5*12,IF(AND(C14&gt;3,C14&lt;=15),1*12,0)),IF(AND(C14&gt;=0,C14&lt;=15),0.5*12,0))</f>
        <v>0</v>
      </c>
      <c r="F14" s="3"/>
      <c r="G14" s="3"/>
      <c r="H14" s="3"/>
      <c r="I14" s="14"/>
      <c r="J14" s="24">
        <f t="shared" si="0"/>
        <v>0</v>
      </c>
      <c r="K14" s="5"/>
      <c r="L14" s="3"/>
      <c r="M14" s="3">
        <f>IF(AND($C14&gt;=0,$C14&lt;=入力!$R$38),M$1,0)</f>
        <v>0</v>
      </c>
      <c r="N14" s="3">
        <f>IF(AND($C14&gt;=0,$C14&lt;=入力!$R$38),N$1,0)</f>
        <v>0</v>
      </c>
      <c r="O14" s="3">
        <f>IF(AND($C14&gt;=0,$C14&lt;=入力!$R$38),O$1,0)</f>
        <v>0</v>
      </c>
      <c r="P14" s="3">
        <f>IF(AND($C14&gt;=0,$C14&lt;=入力!$R$38),P$1,0)</f>
        <v>0</v>
      </c>
      <c r="Q14" s="3">
        <f>IF(AND($C14&gt;=0,$C14&lt;=入力!$R$38),Q$1,0)</f>
        <v>0</v>
      </c>
      <c r="R14" s="3"/>
      <c r="S14" s="14"/>
      <c r="T14" s="18">
        <f t="shared" si="1"/>
        <v>0</v>
      </c>
      <c r="U14" s="24">
        <f t="shared" si="2"/>
        <v>0</v>
      </c>
      <c r="V14" s="5"/>
      <c r="W14" s="3">
        <f>IF(AND($C14&gt;=10,$C14&lt;=入力!$R$38),W$1,0)</f>
        <v>0</v>
      </c>
      <c r="X14" s="3">
        <f>IFERROR(VLOOKUP($C14,学費計算!$C:$R,学費計算!H$1,0),0)</f>
        <v>0</v>
      </c>
      <c r="Y14" s="3">
        <f>IFERROR(VLOOKUP($C14,学費計算!$C:$R,学費計算!I$1,0),0)</f>
        <v>0</v>
      </c>
      <c r="Z14" s="3">
        <f>IFERROR(VLOOKUP($C14,学費計算!$C:$R,学費計算!J$1,0),0)</f>
        <v>0</v>
      </c>
      <c r="AA14" s="3">
        <f>IFERROR(VLOOKUP($C14,学費計算!$C:$R,学費計算!K$1,0),0)</f>
        <v>0</v>
      </c>
      <c r="AB14" s="14"/>
      <c r="AC14" s="18">
        <f t="shared" si="3"/>
        <v>0</v>
      </c>
      <c r="AD14" s="24">
        <f t="shared" si="4"/>
        <v>0</v>
      </c>
      <c r="AE14" s="5">
        <f>IF(AND($C14&gt;=0,$C14&lt;=入力!$R$36),AE$1,0)</f>
        <v>0</v>
      </c>
      <c r="AF14" s="3"/>
      <c r="AG14" s="3"/>
      <c r="AH14" s="3"/>
      <c r="AI14" s="3"/>
      <c r="AJ14" s="14"/>
      <c r="AK14" s="18">
        <f t="shared" si="7"/>
        <v>0</v>
      </c>
      <c r="AL14" s="24">
        <f t="shared" si="5"/>
        <v>0</v>
      </c>
      <c r="AM14" s="24">
        <f t="shared" si="6"/>
        <v>0</v>
      </c>
    </row>
    <row r="15" spans="2:43" x14ac:dyDescent="0.25">
      <c r="B15" s="5">
        <f t="shared" si="8"/>
        <v>28</v>
      </c>
      <c r="C15" s="3">
        <f t="shared" si="9"/>
        <v>-91</v>
      </c>
      <c r="D15" s="34"/>
      <c r="E15" s="3">
        <f>IF(親1!D15&lt;=833.3+42*親1!AS15,IF(AND(C15&gt;=0,C15&lt;=3),1.5*12,IF(AND(C15&gt;3,C15&lt;=15),1*12,0)),IF(AND(C15&gt;=0,C15&lt;=15),0.5*12,0))</f>
        <v>0</v>
      </c>
      <c r="F15" s="3"/>
      <c r="G15" s="3"/>
      <c r="H15" s="3"/>
      <c r="I15" s="14"/>
      <c r="J15" s="24">
        <f t="shared" si="0"/>
        <v>0</v>
      </c>
      <c r="K15" s="5"/>
      <c r="L15" s="3"/>
      <c r="M15" s="3">
        <f>IF(AND($C15&gt;=0,$C15&lt;=入力!$R$38),M$1,0)</f>
        <v>0</v>
      </c>
      <c r="N15" s="3">
        <f>IF(AND($C15&gt;=0,$C15&lt;=入力!$R$38),N$1,0)</f>
        <v>0</v>
      </c>
      <c r="O15" s="3">
        <f>IF(AND($C15&gt;=0,$C15&lt;=入力!$R$38),O$1,0)</f>
        <v>0</v>
      </c>
      <c r="P15" s="3">
        <f>IF(AND($C15&gt;=0,$C15&lt;=入力!$R$38),P$1,0)</f>
        <v>0</v>
      </c>
      <c r="Q15" s="3">
        <f>IF(AND($C15&gt;=0,$C15&lt;=入力!$R$38),Q$1,0)</f>
        <v>0</v>
      </c>
      <c r="R15" s="3"/>
      <c r="S15" s="14"/>
      <c r="T15" s="18">
        <f t="shared" si="1"/>
        <v>0</v>
      </c>
      <c r="U15" s="24">
        <f t="shared" si="2"/>
        <v>0</v>
      </c>
      <c r="V15" s="5"/>
      <c r="W15" s="3">
        <f>IF(AND($C15&gt;=10,$C15&lt;=入力!$R$38),W$1,0)</f>
        <v>0</v>
      </c>
      <c r="X15" s="3">
        <f>IFERROR(VLOOKUP($C15,学費計算!$C:$R,学費計算!H$1,0),0)</f>
        <v>0</v>
      </c>
      <c r="Y15" s="3">
        <f>IFERROR(VLOOKUP($C15,学費計算!$C:$R,学費計算!I$1,0),0)</f>
        <v>0</v>
      </c>
      <c r="Z15" s="3">
        <f>IFERROR(VLOOKUP($C15,学費計算!$C:$R,学費計算!J$1,0),0)</f>
        <v>0</v>
      </c>
      <c r="AA15" s="3">
        <f>IFERROR(VLOOKUP($C15,学費計算!$C:$R,学費計算!K$1,0),0)</f>
        <v>0</v>
      </c>
      <c r="AB15" s="14"/>
      <c r="AC15" s="18">
        <f t="shared" si="3"/>
        <v>0</v>
      </c>
      <c r="AD15" s="24">
        <f t="shared" si="4"/>
        <v>0</v>
      </c>
      <c r="AE15" s="5">
        <f>IF(AND($C15&gt;=0,$C15&lt;=入力!$R$36),AE$1,0)</f>
        <v>0</v>
      </c>
      <c r="AF15" s="3"/>
      <c r="AG15" s="3"/>
      <c r="AH15" s="3"/>
      <c r="AI15" s="3"/>
      <c r="AJ15" s="14"/>
      <c r="AK15" s="18">
        <f t="shared" si="7"/>
        <v>0</v>
      </c>
      <c r="AL15" s="24">
        <f t="shared" si="5"/>
        <v>0</v>
      </c>
      <c r="AM15" s="24">
        <f t="shared" si="6"/>
        <v>0</v>
      </c>
    </row>
    <row r="16" spans="2:43" x14ac:dyDescent="0.25">
      <c r="B16" s="5">
        <f t="shared" si="8"/>
        <v>29</v>
      </c>
      <c r="C16" s="3">
        <f t="shared" si="9"/>
        <v>-90</v>
      </c>
      <c r="D16" s="34"/>
      <c r="E16" s="3">
        <f>IF(親1!D16&lt;=833.3+42*親1!AS16,IF(AND(C16&gt;=0,C16&lt;=3),1.5*12,IF(AND(C16&gt;3,C16&lt;=15),1*12,0)),IF(AND(C16&gt;=0,C16&lt;=15),0.5*12,0))</f>
        <v>0</v>
      </c>
      <c r="F16" s="3"/>
      <c r="G16" s="3"/>
      <c r="H16" s="3"/>
      <c r="I16" s="14"/>
      <c r="J16" s="24">
        <f t="shared" si="0"/>
        <v>0</v>
      </c>
      <c r="K16" s="5"/>
      <c r="L16" s="3"/>
      <c r="M16" s="3">
        <f>IF(AND($C16&gt;=0,$C16&lt;=入力!$R$38),M$1,0)</f>
        <v>0</v>
      </c>
      <c r="N16" s="3">
        <f>IF(AND($C16&gt;=0,$C16&lt;=入力!$R$38),N$1,0)</f>
        <v>0</v>
      </c>
      <c r="O16" s="3">
        <f>IF(AND($C16&gt;=0,$C16&lt;=入力!$R$38),O$1,0)</f>
        <v>0</v>
      </c>
      <c r="P16" s="3">
        <f>IF(AND($C16&gt;=0,$C16&lt;=入力!$R$38),P$1,0)</f>
        <v>0</v>
      </c>
      <c r="Q16" s="3">
        <f>IF(AND($C16&gt;=0,$C16&lt;=入力!$R$38),Q$1,0)</f>
        <v>0</v>
      </c>
      <c r="R16" s="3"/>
      <c r="S16" s="14"/>
      <c r="T16" s="18">
        <f t="shared" si="1"/>
        <v>0</v>
      </c>
      <c r="U16" s="24">
        <f t="shared" si="2"/>
        <v>0</v>
      </c>
      <c r="V16" s="5"/>
      <c r="W16" s="3">
        <f>IF(AND($C16&gt;=10,$C16&lt;=入力!$R$38),W$1,0)</f>
        <v>0</v>
      </c>
      <c r="X16" s="3">
        <f>IFERROR(VLOOKUP($C16,学費計算!$C:$R,学費計算!H$1,0),0)</f>
        <v>0</v>
      </c>
      <c r="Y16" s="3">
        <f>IFERROR(VLOOKUP($C16,学費計算!$C:$R,学費計算!I$1,0),0)</f>
        <v>0</v>
      </c>
      <c r="Z16" s="3">
        <f>IFERROR(VLOOKUP($C16,学費計算!$C:$R,学費計算!J$1,0),0)</f>
        <v>0</v>
      </c>
      <c r="AA16" s="3">
        <f>IFERROR(VLOOKUP($C16,学費計算!$C:$R,学費計算!K$1,0),0)</f>
        <v>0</v>
      </c>
      <c r="AB16" s="14"/>
      <c r="AC16" s="18">
        <f t="shared" si="3"/>
        <v>0</v>
      </c>
      <c r="AD16" s="24">
        <f t="shared" si="4"/>
        <v>0</v>
      </c>
      <c r="AE16" s="5">
        <f>IF(AND($C16&gt;=0,$C16&lt;=入力!$R$36),AE$1,0)</f>
        <v>0</v>
      </c>
      <c r="AF16" s="3"/>
      <c r="AG16" s="3"/>
      <c r="AH16" s="3"/>
      <c r="AI16" s="3"/>
      <c r="AJ16" s="14"/>
      <c r="AK16" s="18">
        <f t="shared" si="7"/>
        <v>0</v>
      </c>
      <c r="AL16" s="24">
        <f t="shared" si="5"/>
        <v>0</v>
      </c>
      <c r="AM16" s="24">
        <f t="shared" si="6"/>
        <v>0</v>
      </c>
    </row>
    <row r="17" spans="2:39" x14ac:dyDescent="0.25">
      <c r="B17" s="5">
        <f t="shared" si="8"/>
        <v>30</v>
      </c>
      <c r="C17" s="3">
        <f t="shared" si="9"/>
        <v>-89</v>
      </c>
      <c r="D17" s="34"/>
      <c r="E17" s="3">
        <f>IF(親1!D17&lt;=833.3+42*親1!AS17,IF(AND(C17&gt;=0,C17&lt;=3),1.5*12,IF(AND(C17&gt;3,C17&lt;=15),1*12,0)),IF(AND(C17&gt;=0,C17&lt;=15),0.5*12,0))</f>
        <v>0</v>
      </c>
      <c r="F17" s="3"/>
      <c r="G17" s="3"/>
      <c r="H17" s="3"/>
      <c r="I17" s="14"/>
      <c r="J17" s="24">
        <f t="shared" si="0"/>
        <v>0</v>
      </c>
      <c r="K17" s="5"/>
      <c r="L17" s="3"/>
      <c r="M17" s="3">
        <f>IF(AND($C17&gt;=0,$C17&lt;=入力!$R$38),M$1,0)</f>
        <v>0</v>
      </c>
      <c r="N17" s="3">
        <f>IF(AND($C17&gt;=0,$C17&lt;=入力!$R$38),N$1,0)</f>
        <v>0</v>
      </c>
      <c r="O17" s="3">
        <f>IF(AND($C17&gt;=0,$C17&lt;=入力!$R$38),O$1,0)</f>
        <v>0</v>
      </c>
      <c r="P17" s="3">
        <f>IF(AND($C17&gt;=0,$C17&lt;=入力!$R$38),P$1,0)</f>
        <v>0</v>
      </c>
      <c r="Q17" s="3">
        <f>IF(AND($C17&gt;=0,$C17&lt;=入力!$R$38),Q$1,0)</f>
        <v>0</v>
      </c>
      <c r="R17" s="3"/>
      <c r="S17" s="14"/>
      <c r="T17" s="18">
        <f t="shared" si="1"/>
        <v>0</v>
      </c>
      <c r="U17" s="24">
        <f t="shared" si="2"/>
        <v>0</v>
      </c>
      <c r="V17" s="5"/>
      <c r="W17" s="3">
        <f>IF(AND($C17&gt;=10,$C17&lt;=入力!$R$38),W$1,0)</f>
        <v>0</v>
      </c>
      <c r="X17" s="3">
        <f>IFERROR(VLOOKUP($C17,学費計算!$C:$R,学費計算!H$1,0),0)</f>
        <v>0</v>
      </c>
      <c r="Y17" s="3">
        <f>IFERROR(VLOOKUP($C17,学費計算!$C:$R,学費計算!I$1,0),0)</f>
        <v>0</v>
      </c>
      <c r="Z17" s="3">
        <f>IFERROR(VLOOKUP($C17,学費計算!$C:$R,学費計算!J$1,0),0)</f>
        <v>0</v>
      </c>
      <c r="AA17" s="3">
        <f>IFERROR(VLOOKUP($C17,学費計算!$C:$R,学費計算!K$1,0),0)</f>
        <v>0</v>
      </c>
      <c r="AB17" s="14"/>
      <c r="AC17" s="18">
        <f t="shared" si="3"/>
        <v>0</v>
      </c>
      <c r="AD17" s="24">
        <f t="shared" si="4"/>
        <v>0</v>
      </c>
      <c r="AE17" s="5">
        <f>IF(AND($C17&gt;=0,$C17&lt;=入力!$R$36),AE$1,0)</f>
        <v>0</v>
      </c>
      <c r="AF17" s="3"/>
      <c r="AG17" s="3"/>
      <c r="AH17" s="3"/>
      <c r="AI17" s="3"/>
      <c r="AJ17" s="14"/>
      <c r="AK17" s="18">
        <f t="shared" si="7"/>
        <v>0</v>
      </c>
      <c r="AL17" s="24">
        <f t="shared" si="5"/>
        <v>0</v>
      </c>
      <c r="AM17" s="24">
        <f t="shared" si="6"/>
        <v>0</v>
      </c>
    </row>
    <row r="18" spans="2:39" x14ac:dyDescent="0.25">
      <c r="B18" s="5">
        <f t="shared" si="8"/>
        <v>31</v>
      </c>
      <c r="C18" s="3">
        <f t="shared" si="9"/>
        <v>-88</v>
      </c>
      <c r="D18" s="34"/>
      <c r="E18" s="3">
        <f>IF(親1!D18&lt;=833.3+42*親1!AS18,IF(AND(C18&gt;=0,C18&lt;=3),1.5*12,IF(AND(C18&gt;3,C18&lt;=15),1*12,0)),IF(AND(C18&gt;=0,C18&lt;=15),0.5*12,0))</f>
        <v>0</v>
      </c>
      <c r="F18" s="3"/>
      <c r="G18" s="3"/>
      <c r="H18" s="3"/>
      <c r="I18" s="14"/>
      <c r="J18" s="24">
        <f t="shared" si="0"/>
        <v>0</v>
      </c>
      <c r="K18" s="5"/>
      <c r="L18" s="3"/>
      <c r="M18" s="3">
        <f>IF(AND($C18&gt;=0,$C18&lt;=入力!$R$38),M$1,0)</f>
        <v>0</v>
      </c>
      <c r="N18" s="3">
        <f>IF(AND($C18&gt;=0,$C18&lt;=入力!$R$38),N$1,0)</f>
        <v>0</v>
      </c>
      <c r="O18" s="3">
        <f>IF(AND($C18&gt;=0,$C18&lt;=入力!$R$38),O$1,0)</f>
        <v>0</v>
      </c>
      <c r="P18" s="3">
        <f>IF(AND($C18&gt;=0,$C18&lt;=入力!$R$38),P$1,0)</f>
        <v>0</v>
      </c>
      <c r="Q18" s="3">
        <f>IF(AND($C18&gt;=0,$C18&lt;=入力!$R$38),Q$1,0)</f>
        <v>0</v>
      </c>
      <c r="R18" s="3"/>
      <c r="S18" s="14"/>
      <c r="T18" s="18">
        <f t="shared" si="1"/>
        <v>0</v>
      </c>
      <c r="U18" s="24">
        <f t="shared" si="2"/>
        <v>0</v>
      </c>
      <c r="V18" s="5"/>
      <c r="W18" s="3">
        <f>IF(AND($C18&gt;=10,$C18&lt;=入力!$R$38),W$1,0)</f>
        <v>0</v>
      </c>
      <c r="X18" s="3">
        <f>IFERROR(VLOOKUP($C18,学費計算!$C:$R,学費計算!H$1,0),0)</f>
        <v>0</v>
      </c>
      <c r="Y18" s="3">
        <f>IFERROR(VLOOKUP($C18,学費計算!$C:$R,学費計算!I$1,0),0)</f>
        <v>0</v>
      </c>
      <c r="Z18" s="3">
        <f>IFERROR(VLOOKUP($C18,学費計算!$C:$R,学費計算!J$1,0),0)</f>
        <v>0</v>
      </c>
      <c r="AA18" s="3">
        <f>IFERROR(VLOOKUP($C18,学費計算!$C:$R,学費計算!K$1,0),0)</f>
        <v>0</v>
      </c>
      <c r="AB18" s="14"/>
      <c r="AC18" s="18">
        <f t="shared" si="3"/>
        <v>0</v>
      </c>
      <c r="AD18" s="24">
        <f t="shared" si="4"/>
        <v>0</v>
      </c>
      <c r="AE18" s="5">
        <f>IF(AND($C18&gt;=0,$C18&lt;=入力!$R$36),AE$1,0)</f>
        <v>0</v>
      </c>
      <c r="AF18" s="3"/>
      <c r="AG18" s="3"/>
      <c r="AH18" s="3"/>
      <c r="AI18" s="3"/>
      <c r="AJ18" s="14"/>
      <c r="AK18" s="18">
        <f t="shared" si="7"/>
        <v>0</v>
      </c>
      <c r="AL18" s="24">
        <f t="shared" si="5"/>
        <v>0</v>
      </c>
      <c r="AM18" s="24">
        <f t="shared" si="6"/>
        <v>0</v>
      </c>
    </row>
    <row r="19" spans="2:39" x14ac:dyDescent="0.25">
      <c r="B19" s="5">
        <f t="shared" si="8"/>
        <v>32</v>
      </c>
      <c r="C19" s="3">
        <f t="shared" si="9"/>
        <v>-87</v>
      </c>
      <c r="D19" s="34"/>
      <c r="E19" s="3">
        <f>IF(親1!D19&lt;=833.3+42*親1!AS19,IF(AND(C19&gt;=0,C19&lt;=3),1.5*12,IF(AND(C19&gt;3,C19&lt;=15),1*12,0)),IF(AND(C19&gt;=0,C19&lt;=15),0.5*12,0))</f>
        <v>0</v>
      </c>
      <c r="F19" s="3"/>
      <c r="G19" s="3"/>
      <c r="H19" s="3"/>
      <c r="I19" s="14"/>
      <c r="J19" s="24">
        <f t="shared" si="0"/>
        <v>0</v>
      </c>
      <c r="K19" s="5"/>
      <c r="L19" s="3"/>
      <c r="M19" s="3">
        <f>IF(AND($C19&gt;=0,$C19&lt;=入力!$R$38),M$1,0)</f>
        <v>0</v>
      </c>
      <c r="N19" s="3">
        <f>IF(AND($C19&gt;=0,$C19&lt;=入力!$R$38),N$1,0)</f>
        <v>0</v>
      </c>
      <c r="O19" s="3">
        <f>IF(AND($C19&gt;=0,$C19&lt;=入力!$R$38),O$1,0)</f>
        <v>0</v>
      </c>
      <c r="P19" s="3">
        <f>IF(AND($C19&gt;=0,$C19&lt;=入力!$R$38),P$1,0)</f>
        <v>0</v>
      </c>
      <c r="Q19" s="3">
        <f>IF(AND($C19&gt;=0,$C19&lt;=入力!$R$38),Q$1,0)</f>
        <v>0</v>
      </c>
      <c r="R19" s="3"/>
      <c r="S19" s="14"/>
      <c r="T19" s="18">
        <f t="shared" si="1"/>
        <v>0</v>
      </c>
      <c r="U19" s="24">
        <f t="shared" si="2"/>
        <v>0</v>
      </c>
      <c r="V19" s="5"/>
      <c r="W19" s="3">
        <f>IF(AND($C19&gt;=10,$C19&lt;=入力!$R$38),W$1,0)</f>
        <v>0</v>
      </c>
      <c r="X19" s="3">
        <f>IFERROR(VLOOKUP($C19,学費計算!$C:$R,学費計算!H$1,0),0)</f>
        <v>0</v>
      </c>
      <c r="Y19" s="3">
        <f>IFERROR(VLOOKUP($C19,学費計算!$C:$R,学費計算!I$1,0),0)</f>
        <v>0</v>
      </c>
      <c r="Z19" s="3">
        <f>IFERROR(VLOOKUP($C19,学費計算!$C:$R,学費計算!J$1,0),0)</f>
        <v>0</v>
      </c>
      <c r="AA19" s="3">
        <f>IFERROR(VLOOKUP($C19,学費計算!$C:$R,学費計算!K$1,0),0)</f>
        <v>0</v>
      </c>
      <c r="AB19" s="14"/>
      <c r="AC19" s="18">
        <f t="shared" si="3"/>
        <v>0</v>
      </c>
      <c r="AD19" s="24">
        <f t="shared" si="4"/>
        <v>0</v>
      </c>
      <c r="AE19" s="5">
        <f>IF(AND($C19&gt;=0,$C19&lt;=入力!$R$36),AE$1,0)</f>
        <v>0</v>
      </c>
      <c r="AF19" s="3"/>
      <c r="AG19" s="3"/>
      <c r="AH19" s="3"/>
      <c r="AI19" s="3"/>
      <c r="AJ19" s="14"/>
      <c r="AK19" s="18">
        <f t="shared" si="7"/>
        <v>0</v>
      </c>
      <c r="AL19" s="24">
        <f t="shared" si="5"/>
        <v>0</v>
      </c>
      <c r="AM19" s="24">
        <f t="shared" si="6"/>
        <v>0</v>
      </c>
    </row>
    <row r="20" spans="2:39" x14ac:dyDescent="0.25">
      <c r="B20" s="5">
        <f t="shared" si="8"/>
        <v>33</v>
      </c>
      <c r="C20" s="3">
        <f t="shared" si="9"/>
        <v>-86</v>
      </c>
      <c r="D20" s="34"/>
      <c r="E20" s="3">
        <f>IF(親1!D20&lt;=833.3+42*親1!AS20,IF(AND(C20&gt;=0,C20&lt;=3),1.5*12,IF(AND(C20&gt;3,C20&lt;=15),1*12,0)),IF(AND(C20&gt;=0,C20&lt;=15),0.5*12,0))</f>
        <v>0</v>
      </c>
      <c r="F20" s="3"/>
      <c r="G20" s="3"/>
      <c r="H20" s="3"/>
      <c r="I20" s="14"/>
      <c r="J20" s="24">
        <f t="shared" si="0"/>
        <v>0</v>
      </c>
      <c r="K20" s="5"/>
      <c r="L20" s="3"/>
      <c r="M20" s="3">
        <f>IF(AND($C20&gt;=0,$C20&lt;=入力!$R$38),M$1,0)</f>
        <v>0</v>
      </c>
      <c r="N20" s="3">
        <f>IF(AND($C20&gt;=0,$C20&lt;=入力!$R$38),N$1,0)</f>
        <v>0</v>
      </c>
      <c r="O20" s="3">
        <f>IF(AND($C20&gt;=0,$C20&lt;=入力!$R$38),O$1,0)</f>
        <v>0</v>
      </c>
      <c r="P20" s="3">
        <f>IF(AND($C20&gt;=0,$C20&lt;=入力!$R$38),P$1,0)</f>
        <v>0</v>
      </c>
      <c r="Q20" s="3">
        <f>IF(AND($C20&gt;=0,$C20&lt;=入力!$R$38),Q$1,0)</f>
        <v>0</v>
      </c>
      <c r="R20" s="3"/>
      <c r="S20" s="14"/>
      <c r="T20" s="18">
        <f t="shared" si="1"/>
        <v>0</v>
      </c>
      <c r="U20" s="24">
        <f t="shared" si="2"/>
        <v>0</v>
      </c>
      <c r="V20" s="5"/>
      <c r="W20" s="3">
        <f>IF(AND($C20&gt;=10,$C20&lt;=入力!$R$38),W$1,0)</f>
        <v>0</v>
      </c>
      <c r="X20" s="3">
        <f>IFERROR(VLOOKUP($C20,学費計算!$C:$R,学費計算!H$1,0),0)</f>
        <v>0</v>
      </c>
      <c r="Y20" s="3">
        <f>IFERROR(VLOOKUP($C20,学費計算!$C:$R,学費計算!I$1,0),0)</f>
        <v>0</v>
      </c>
      <c r="Z20" s="3">
        <f>IFERROR(VLOOKUP($C20,学費計算!$C:$R,学費計算!J$1,0),0)</f>
        <v>0</v>
      </c>
      <c r="AA20" s="3">
        <f>IFERROR(VLOOKUP($C20,学費計算!$C:$R,学費計算!K$1,0),0)</f>
        <v>0</v>
      </c>
      <c r="AB20" s="14"/>
      <c r="AC20" s="18">
        <f t="shared" si="3"/>
        <v>0</v>
      </c>
      <c r="AD20" s="24">
        <f t="shared" si="4"/>
        <v>0</v>
      </c>
      <c r="AE20" s="5">
        <f>IF(AND($C20&gt;=0,$C20&lt;=入力!$R$36),AE$1,0)</f>
        <v>0</v>
      </c>
      <c r="AF20" s="3"/>
      <c r="AG20" s="3"/>
      <c r="AH20" s="3"/>
      <c r="AI20" s="3"/>
      <c r="AJ20" s="14"/>
      <c r="AK20" s="18">
        <f t="shared" si="7"/>
        <v>0</v>
      </c>
      <c r="AL20" s="24">
        <f t="shared" si="5"/>
        <v>0</v>
      </c>
      <c r="AM20" s="24">
        <f t="shared" si="6"/>
        <v>0</v>
      </c>
    </row>
    <row r="21" spans="2:39" x14ac:dyDescent="0.25">
      <c r="B21" s="5">
        <f t="shared" si="8"/>
        <v>34</v>
      </c>
      <c r="C21" s="3">
        <f t="shared" si="9"/>
        <v>-85</v>
      </c>
      <c r="D21" s="34"/>
      <c r="E21" s="3">
        <f>IF(親1!D21&lt;=833.3+42*親1!AS21,IF(AND(C21&gt;=0,C21&lt;=3),1.5*12,IF(AND(C21&gt;3,C21&lt;=15),1*12,0)),IF(AND(C21&gt;=0,C21&lt;=15),0.5*12,0))</f>
        <v>0</v>
      </c>
      <c r="F21" s="3"/>
      <c r="G21" s="3"/>
      <c r="H21" s="3"/>
      <c r="I21" s="14"/>
      <c r="J21" s="24">
        <f t="shared" si="0"/>
        <v>0</v>
      </c>
      <c r="K21" s="5"/>
      <c r="L21" s="3"/>
      <c r="M21" s="3">
        <f>IF(AND($C21&gt;=0,$C21&lt;=入力!$R$38),M$1,0)</f>
        <v>0</v>
      </c>
      <c r="N21" s="3">
        <f>IF(AND($C21&gt;=0,$C21&lt;=入力!$R$38),N$1,0)</f>
        <v>0</v>
      </c>
      <c r="O21" s="3">
        <f>IF(AND($C21&gt;=0,$C21&lt;=入力!$R$38),O$1,0)</f>
        <v>0</v>
      </c>
      <c r="P21" s="3">
        <f>IF(AND($C21&gt;=0,$C21&lt;=入力!$R$38),P$1,0)</f>
        <v>0</v>
      </c>
      <c r="Q21" s="3">
        <f>IF(AND($C21&gt;=0,$C21&lt;=入力!$R$38),Q$1,0)</f>
        <v>0</v>
      </c>
      <c r="R21" s="3"/>
      <c r="S21" s="14"/>
      <c r="T21" s="18">
        <f t="shared" si="1"/>
        <v>0</v>
      </c>
      <c r="U21" s="24">
        <f t="shared" si="2"/>
        <v>0</v>
      </c>
      <c r="V21" s="5"/>
      <c r="W21" s="3">
        <f>IF(AND($C21&gt;=10,$C21&lt;=入力!$R$38),W$1,0)</f>
        <v>0</v>
      </c>
      <c r="X21" s="3">
        <f>IFERROR(VLOOKUP($C21,学費計算!$C:$R,学費計算!H$1,0),0)</f>
        <v>0</v>
      </c>
      <c r="Y21" s="3">
        <f>IFERROR(VLOOKUP($C21,学費計算!$C:$R,学費計算!I$1,0),0)</f>
        <v>0</v>
      </c>
      <c r="Z21" s="3">
        <f>IFERROR(VLOOKUP($C21,学費計算!$C:$R,学費計算!J$1,0),0)</f>
        <v>0</v>
      </c>
      <c r="AA21" s="3">
        <f>IFERROR(VLOOKUP($C21,学費計算!$C:$R,学費計算!K$1,0),0)</f>
        <v>0</v>
      </c>
      <c r="AB21" s="14"/>
      <c r="AC21" s="18">
        <f t="shared" si="3"/>
        <v>0</v>
      </c>
      <c r="AD21" s="24">
        <f t="shared" si="4"/>
        <v>0</v>
      </c>
      <c r="AE21" s="5">
        <f>IF(AND($C21&gt;=0,$C21&lt;=入力!$R$36),AE$1,0)</f>
        <v>0</v>
      </c>
      <c r="AF21" s="3"/>
      <c r="AG21" s="3"/>
      <c r="AH21" s="3"/>
      <c r="AI21" s="3"/>
      <c r="AJ21" s="14"/>
      <c r="AK21" s="18">
        <f t="shared" si="7"/>
        <v>0</v>
      </c>
      <c r="AL21" s="24">
        <f t="shared" si="5"/>
        <v>0</v>
      </c>
      <c r="AM21" s="24">
        <f t="shared" si="6"/>
        <v>0</v>
      </c>
    </row>
    <row r="22" spans="2:39" x14ac:dyDescent="0.25">
      <c r="B22" s="5">
        <f t="shared" si="8"/>
        <v>35</v>
      </c>
      <c r="C22" s="3">
        <f t="shared" si="9"/>
        <v>-84</v>
      </c>
      <c r="D22" s="34"/>
      <c r="E22" s="3">
        <f>IF(親1!D22&lt;=833.3+42*親1!AS22,IF(AND(C22&gt;=0,C22&lt;=3),1.5*12,IF(AND(C22&gt;3,C22&lt;=15),1*12,0)),IF(AND(C22&gt;=0,C22&lt;=15),0.5*12,0))</f>
        <v>0</v>
      </c>
      <c r="F22" s="3"/>
      <c r="G22" s="3"/>
      <c r="H22" s="3"/>
      <c r="I22" s="14"/>
      <c r="J22" s="24">
        <f t="shared" si="0"/>
        <v>0</v>
      </c>
      <c r="K22" s="5"/>
      <c r="L22" s="3"/>
      <c r="M22" s="3">
        <f>IF(AND($C22&gt;=0,$C22&lt;=入力!$R$38),M$1,0)</f>
        <v>0</v>
      </c>
      <c r="N22" s="3">
        <f>IF(AND($C22&gt;=0,$C22&lt;=入力!$R$38),N$1,0)</f>
        <v>0</v>
      </c>
      <c r="O22" s="3">
        <f>IF(AND($C22&gt;=0,$C22&lt;=入力!$R$38),O$1,0)</f>
        <v>0</v>
      </c>
      <c r="P22" s="3">
        <f>IF(AND($C22&gt;=0,$C22&lt;=入力!$R$38),P$1,0)</f>
        <v>0</v>
      </c>
      <c r="Q22" s="3">
        <f>IF(AND($C22&gt;=0,$C22&lt;=入力!$R$38),Q$1,0)</f>
        <v>0</v>
      </c>
      <c r="R22" s="3"/>
      <c r="S22" s="14"/>
      <c r="T22" s="18">
        <f t="shared" si="1"/>
        <v>0</v>
      </c>
      <c r="U22" s="24">
        <f t="shared" si="2"/>
        <v>0</v>
      </c>
      <c r="V22" s="5"/>
      <c r="W22" s="3">
        <f>IF(AND($C22&gt;=10,$C22&lt;=入力!$R$38),W$1,0)</f>
        <v>0</v>
      </c>
      <c r="X22" s="3">
        <f>IFERROR(VLOOKUP($C22,学費計算!$C:$R,学費計算!H$1,0),0)</f>
        <v>0</v>
      </c>
      <c r="Y22" s="3">
        <f>IFERROR(VLOOKUP($C22,学費計算!$C:$R,学費計算!I$1,0),0)</f>
        <v>0</v>
      </c>
      <c r="Z22" s="3">
        <f>IFERROR(VLOOKUP($C22,学費計算!$C:$R,学費計算!J$1,0),0)</f>
        <v>0</v>
      </c>
      <c r="AA22" s="3">
        <f>IFERROR(VLOOKUP($C22,学費計算!$C:$R,学費計算!K$1,0),0)</f>
        <v>0</v>
      </c>
      <c r="AB22" s="14"/>
      <c r="AC22" s="18">
        <f t="shared" si="3"/>
        <v>0</v>
      </c>
      <c r="AD22" s="24">
        <f t="shared" si="4"/>
        <v>0</v>
      </c>
      <c r="AE22" s="5">
        <f>IF(AND($C22&gt;=0,$C22&lt;=入力!$R$36),AE$1,0)</f>
        <v>0</v>
      </c>
      <c r="AF22" s="3"/>
      <c r="AG22" s="3"/>
      <c r="AH22" s="3"/>
      <c r="AI22" s="3"/>
      <c r="AJ22" s="14"/>
      <c r="AK22" s="18">
        <f t="shared" si="7"/>
        <v>0</v>
      </c>
      <c r="AL22" s="24">
        <f t="shared" si="5"/>
        <v>0</v>
      </c>
      <c r="AM22" s="24">
        <f t="shared" si="6"/>
        <v>0</v>
      </c>
    </row>
    <row r="23" spans="2:39" x14ac:dyDescent="0.25">
      <c r="B23" s="5">
        <f t="shared" si="8"/>
        <v>36</v>
      </c>
      <c r="C23" s="3">
        <f t="shared" si="9"/>
        <v>-83</v>
      </c>
      <c r="D23" s="34"/>
      <c r="E23" s="3">
        <f>IF(親1!D23&lt;=833.3+42*親1!AS23,IF(AND(C23&gt;=0,C23&lt;=3),1.5*12,IF(AND(C23&gt;3,C23&lt;=15),1*12,0)),IF(AND(C23&gt;=0,C23&lt;=15),0.5*12,0))</f>
        <v>0</v>
      </c>
      <c r="F23" s="3"/>
      <c r="G23" s="3"/>
      <c r="H23" s="3"/>
      <c r="I23" s="14"/>
      <c r="J23" s="24">
        <f t="shared" si="0"/>
        <v>0</v>
      </c>
      <c r="K23" s="5"/>
      <c r="L23" s="3"/>
      <c r="M23" s="3">
        <f>IF(AND($C23&gt;=0,$C23&lt;=入力!$R$38),M$1,0)</f>
        <v>0</v>
      </c>
      <c r="N23" s="3">
        <f>IF(AND($C23&gt;=0,$C23&lt;=入力!$R$38),N$1,0)</f>
        <v>0</v>
      </c>
      <c r="O23" s="3">
        <f>IF(AND($C23&gt;=0,$C23&lt;=入力!$R$38),O$1,0)</f>
        <v>0</v>
      </c>
      <c r="P23" s="3">
        <f>IF(AND($C23&gt;=0,$C23&lt;=入力!$R$38),P$1,0)</f>
        <v>0</v>
      </c>
      <c r="Q23" s="3">
        <f>IF(AND($C23&gt;=0,$C23&lt;=入力!$R$38),Q$1,0)</f>
        <v>0</v>
      </c>
      <c r="R23" s="3"/>
      <c r="S23" s="14"/>
      <c r="T23" s="18">
        <f t="shared" si="1"/>
        <v>0</v>
      </c>
      <c r="U23" s="24">
        <f t="shared" si="2"/>
        <v>0</v>
      </c>
      <c r="V23" s="5"/>
      <c r="W23" s="3">
        <f>IF(AND($C23&gt;=10,$C23&lt;=入力!$R$38),W$1,0)</f>
        <v>0</v>
      </c>
      <c r="X23" s="3">
        <f>IFERROR(VLOOKUP($C23,学費計算!$C:$R,学費計算!H$1,0),0)</f>
        <v>0</v>
      </c>
      <c r="Y23" s="3">
        <f>IFERROR(VLOOKUP($C23,学費計算!$C:$R,学費計算!I$1,0),0)</f>
        <v>0</v>
      </c>
      <c r="Z23" s="3">
        <f>IFERROR(VLOOKUP($C23,学費計算!$C:$R,学費計算!J$1,0),0)</f>
        <v>0</v>
      </c>
      <c r="AA23" s="3">
        <f>IFERROR(VLOOKUP($C23,学費計算!$C:$R,学費計算!K$1,0),0)</f>
        <v>0</v>
      </c>
      <c r="AB23" s="14"/>
      <c r="AC23" s="18">
        <f t="shared" si="3"/>
        <v>0</v>
      </c>
      <c r="AD23" s="24">
        <f t="shared" si="4"/>
        <v>0</v>
      </c>
      <c r="AE23" s="5">
        <f>IF(AND($C23&gt;=0,$C23&lt;=入力!$R$36),AE$1,0)</f>
        <v>0</v>
      </c>
      <c r="AF23" s="3"/>
      <c r="AG23" s="3"/>
      <c r="AH23" s="3"/>
      <c r="AI23" s="3"/>
      <c r="AJ23" s="14"/>
      <c r="AK23" s="18">
        <f t="shared" si="7"/>
        <v>0</v>
      </c>
      <c r="AL23" s="24">
        <f t="shared" si="5"/>
        <v>0</v>
      </c>
      <c r="AM23" s="24">
        <f t="shared" si="6"/>
        <v>0</v>
      </c>
    </row>
    <row r="24" spans="2:39" x14ac:dyDescent="0.25">
      <c r="B24" s="5">
        <f t="shared" si="8"/>
        <v>37</v>
      </c>
      <c r="C24" s="3">
        <f t="shared" si="9"/>
        <v>-82</v>
      </c>
      <c r="D24" s="34"/>
      <c r="E24" s="3">
        <f>IF(親1!D24&lt;=833.3+42*親1!AS24,IF(AND(C24&gt;=0,C24&lt;=3),1.5*12,IF(AND(C24&gt;3,C24&lt;=15),1*12,0)),IF(AND(C24&gt;=0,C24&lt;=15),0.5*12,0))</f>
        <v>0</v>
      </c>
      <c r="F24" s="3"/>
      <c r="G24" s="3"/>
      <c r="H24" s="3"/>
      <c r="I24" s="14"/>
      <c r="J24" s="24">
        <f t="shared" si="0"/>
        <v>0</v>
      </c>
      <c r="K24" s="5"/>
      <c r="L24" s="3"/>
      <c r="M24" s="3">
        <f>IF(AND($C24&gt;=0,$C24&lt;=入力!$R$38),M$1,0)</f>
        <v>0</v>
      </c>
      <c r="N24" s="3">
        <f>IF(AND($C24&gt;=0,$C24&lt;=入力!$R$38),N$1,0)</f>
        <v>0</v>
      </c>
      <c r="O24" s="3">
        <f>IF(AND($C24&gt;=0,$C24&lt;=入力!$R$38),O$1,0)</f>
        <v>0</v>
      </c>
      <c r="P24" s="3">
        <f>IF(AND($C24&gt;=0,$C24&lt;=入力!$R$38),P$1,0)</f>
        <v>0</v>
      </c>
      <c r="Q24" s="3">
        <f>IF(AND($C24&gt;=0,$C24&lt;=入力!$R$38),Q$1,0)</f>
        <v>0</v>
      </c>
      <c r="R24" s="3"/>
      <c r="S24" s="14"/>
      <c r="T24" s="18">
        <f t="shared" si="1"/>
        <v>0</v>
      </c>
      <c r="U24" s="24">
        <f t="shared" si="2"/>
        <v>0</v>
      </c>
      <c r="V24" s="5"/>
      <c r="W24" s="3">
        <f>IF(AND($C24&gt;=10,$C24&lt;=入力!$R$38),W$1,0)</f>
        <v>0</v>
      </c>
      <c r="X24" s="3">
        <f>IFERROR(VLOOKUP($C24,学費計算!$C:$R,学費計算!H$1,0),0)</f>
        <v>0</v>
      </c>
      <c r="Y24" s="3">
        <f>IFERROR(VLOOKUP($C24,学費計算!$C:$R,学費計算!I$1,0),0)</f>
        <v>0</v>
      </c>
      <c r="Z24" s="3">
        <f>IFERROR(VLOOKUP($C24,学費計算!$C:$R,学費計算!J$1,0),0)</f>
        <v>0</v>
      </c>
      <c r="AA24" s="3">
        <f>IFERROR(VLOOKUP($C24,学費計算!$C:$R,学費計算!K$1,0),0)</f>
        <v>0</v>
      </c>
      <c r="AB24" s="14"/>
      <c r="AC24" s="18">
        <f t="shared" si="3"/>
        <v>0</v>
      </c>
      <c r="AD24" s="24">
        <f t="shared" si="4"/>
        <v>0</v>
      </c>
      <c r="AE24" s="5">
        <f>IF(AND($C24&gt;=0,$C24&lt;=入力!$R$36),AE$1,0)</f>
        <v>0</v>
      </c>
      <c r="AF24" s="3"/>
      <c r="AG24" s="3"/>
      <c r="AH24" s="3"/>
      <c r="AI24" s="3"/>
      <c r="AJ24" s="14"/>
      <c r="AK24" s="18">
        <f t="shared" si="7"/>
        <v>0</v>
      </c>
      <c r="AL24" s="24">
        <f t="shared" si="5"/>
        <v>0</v>
      </c>
      <c r="AM24" s="24">
        <f t="shared" si="6"/>
        <v>0</v>
      </c>
    </row>
    <row r="25" spans="2:39" x14ac:dyDescent="0.25">
      <c r="B25" s="5">
        <f t="shared" si="8"/>
        <v>38</v>
      </c>
      <c r="C25" s="3">
        <f t="shared" si="9"/>
        <v>-81</v>
      </c>
      <c r="D25" s="34"/>
      <c r="E25" s="3">
        <f>IF(親1!D25&lt;=833.3+42*親1!AS25,IF(AND(C25&gt;=0,C25&lt;=3),1.5*12,IF(AND(C25&gt;3,C25&lt;=15),1*12,0)),IF(AND(C25&gt;=0,C25&lt;=15),0.5*12,0))</f>
        <v>0</v>
      </c>
      <c r="F25" s="3"/>
      <c r="G25" s="3"/>
      <c r="H25" s="3"/>
      <c r="I25" s="14"/>
      <c r="J25" s="24">
        <f t="shared" si="0"/>
        <v>0</v>
      </c>
      <c r="K25" s="5"/>
      <c r="L25" s="3"/>
      <c r="M25" s="3">
        <f>IF(AND($C25&gt;=0,$C25&lt;=入力!$R$38),M$1,0)</f>
        <v>0</v>
      </c>
      <c r="N25" s="3">
        <f>IF(AND($C25&gt;=0,$C25&lt;=入力!$R$38),N$1,0)</f>
        <v>0</v>
      </c>
      <c r="O25" s="3">
        <f>IF(AND($C25&gt;=0,$C25&lt;=入力!$R$38),O$1,0)</f>
        <v>0</v>
      </c>
      <c r="P25" s="3">
        <f>IF(AND($C25&gt;=0,$C25&lt;=入力!$R$38),P$1,0)</f>
        <v>0</v>
      </c>
      <c r="Q25" s="3">
        <f>IF(AND($C25&gt;=0,$C25&lt;=入力!$R$38),Q$1,0)</f>
        <v>0</v>
      </c>
      <c r="R25" s="3"/>
      <c r="S25" s="14"/>
      <c r="T25" s="18">
        <f t="shared" si="1"/>
        <v>0</v>
      </c>
      <c r="U25" s="24">
        <f t="shared" si="2"/>
        <v>0</v>
      </c>
      <c r="V25" s="5"/>
      <c r="W25" s="3">
        <f>IF(AND($C25&gt;=10,$C25&lt;=入力!$R$38),W$1,0)</f>
        <v>0</v>
      </c>
      <c r="X25" s="3">
        <f>IFERROR(VLOOKUP($C25,学費計算!$C:$R,学費計算!H$1,0),0)</f>
        <v>0</v>
      </c>
      <c r="Y25" s="3">
        <f>IFERROR(VLOOKUP($C25,学費計算!$C:$R,学費計算!I$1,0),0)</f>
        <v>0</v>
      </c>
      <c r="Z25" s="3">
        <f>IFERROR(VLOOKUP($C25,学費計算!$C:$R,学費計算!J$1,0),0)</f>
        <v>0</v>
      </c>
      <c r="AA25" s="3">
        <f>IFERROR(VLOOKUP($C25,学費計算!$C:$R,学費計算!K$1,0),0)</f>
        <v>0</v>
      </c>
      <c r="AB25" s="14"/>
      <c r="AC25" s="18">
        <f t="shared" si="3"/>
        <v>0</v>
      </c>
      <c r="AD25" s="24">
        <f t="shared" si="4"/>
        <v>0</v>
      </c>
      <c r="AE25" s="5">
        <f>IF(AND($C25&gt;=0,$C25&lt;=入力!$R$36),AE$1,0)</f>
        <v>0</v>
      </c>
      <c r="AF25" s="3"/>
      <c r="AG25" s="3"/>
      <c r="AH25" s="3"/>
      <c r="AI25" s="3"/>
      <c r="AJ25" s="14"/>
      <c r="AK25" s="18">
        <f t="shared" si="7"/>
        <v>0</v>
      </c>
      <c r="AL25" s="24">
        <f t="shared" si="5"/>
        <v>0</v>
      </c>
      <c r="AM25" s="24">
        <f t="shared" si="6"/>
        <v>0</v>
      </c>
    </row>
    <row r="26" spans="2:39" x14ac:dyDescent="0.25">
      <c r="B26" s="5">
        <f t="shared" si="8"/>
        <v>39</v>
      </c>
      <c r="C26" s="3">
        <f t="shared" si="9"/>
        <v>-80</v>
      </c>
      <c r="D26" s="34"/>
      <c r="E26" s="3">
        <f>IF(親1!D26&lt;=833.3+42*親1!AS26,IF(AND(C26&gt;=0,C26&lt;=3),1.5*12,IF(AND(C26&gt;3,C26&lt;=15),1*12,0)),IF(AND(C26&gt;=0,C26&lt;=15),0.5*12,0))</f>
        <v>0</v>
      </c>
      <c r="F26" s="3"/>
      <c r="G26" s="3"/>
      <c r="H26" s="3"/>
      <c r="I26" s="14"/>
      <c r="J26" s="24">
        <f t="shared" si="0"/>
        <v>0</v>
      </c>
      <c r="K26" s="5"/>
      <c r="L26" s="3"/>
      <c r="M26" s="3">
        <f>IF(AND($C26&gt;=0,$C26&lt;=入力!$R$38),M$1,0)</f>
        <v>0</v>
      </c>
      <c r="N26" s="3">
        <f>IF(AND($C26&gt;=0,$C26&lt;=入力!$R$38),N$1,0)</f>
        <v>0</v>
      </c>
      <c r="O26" s="3">
        <f>IF(AND($C26&gt;=0,$C26&lt;=入力!$R$38),O$1,0)</f>
        <v>0</v>
      </c>
      <c r="P26" s="3">
        <f>IF(AND($C26&gt;=0,$C26&lt;=入力!$R$38),P$1,0)</f>
        <v>0</v>
      </c>
      <c r="Q26" s="3">
        <f>IF(AND($C26&gt;=0,$C26&lt;=入力!$R$38),Q$1,0)</f>
        <v>0</v>
      </c>
      <c r="R26" s="3"/>
      <c r="S26" s="14"/>
      <c r="T26" s="18">
        <f t="shared" si="1"/>
        <v>0</v>
      </c>
      <c r="U26" s="24">
        <f t="shared" si="2"/>
        <v>0</v>
      </c>
      <c r="V26" s="5"/>
      <c r="W26" s="3">
        <f>IF(AND($C26&gt;=10,$C26&lt;=入力!$R$38),W$1,0)</f>
        <v>0</v>
      </c>
      <c r="X26" s="3">
        <f>IFERROR(VLOOKUP($C26,学費計算!$C:$R,学費計算!H$1,0),0)</f>
        <v>0</v>
      </c>
      <c r="Y26" s="3">
        <f>IFERROR(VLOOKUP($C26,学費計算!$C:$R,学費計算!I$1,0),0)</f>
        <v>0</v>
      </c>
      <c r="Z26" s="3">
        <f>IFERROR(VLOOKUP($C26,学費計算!$C:$R,学費計算!J$1,0),0)</f>
        <v>0</v>
      </c>
      <c r="AA26" s="3">
        <f>IFERROR(VLOOKUP($C26,学費計算!$C:$R,学費計算!K$1,0),0)</f>
        <v>0</v>
      </c>
      <c r="AB26" s="14"/>
      <c r="AC26" s="18">
        <f t="shared" si="3"/>
        <v>0</v>
      </c>
      <c r="AD26" s="24">
        <f t="shared" si="4"/>
        <v>0</v>
      </c>
      <c r="AE26" s="5">
        <f>IF(AND($C26&gt;=0,$C26&lt;=入力!$R$36),AE$1,0)</f>
        <v>0</v>
      </c>
      <c r="AF26" s="3"/>
      <c r="AG26" s="3"/>
      <c r="AH26" s="3"/>
      <c r="AI26" s="3"/>
      <c r="AJ26" s="14"/>
      <c r="AK26" s="18">
        <f t="shared" si="7"/>
        <v>0</v>
      </c>
      <c r="AL26" s="24">
        <f t="shared" si="5"/>
        <v>0</v>
      </c>
      <c r="AM26" s="24">
        <f t="shared" si="6"/>
        <v>0</v>
      </c>
    </row>
    <row r="27" spans="2:39" x14ac:dyDescent="0.25">
      <c r="B27" s="5">
        <f t="shared" si="8"/>
        <v>40</v>
      </c>
      <c r="C27" s="3">
        <f t="shared" si="9"/>
        <v>-79</v>
      </c>
      <c r="D27" s="34"/>
      <c r="E27" s="3">
        <f>IF(親1!D27&lt;=833.3+42*親1!AS27,IF(AND(C27&gt;=0,C27&lt;=3),1.5*12,IF(AND(C27&gt;3,C27&lt;=15),1*12,0)),IF(AND(C27&gt;=0,C27&lt;=15),0.5*12,0))</f>
        <v>0</v>
      </c>
      <c r="F27" s="3"/>
      <c r="G27" s="3"/>
      <c r="H27" s="3"/>
      <c r="I27" s="14"/>
      <c r="J27" s="24">
        <f t="shared" si="0"/>
        <v>0</v>
      </c>
      <c r="K27" s="5"/>
      <c r="L27" s="3"/>
      <c r="M27" s="3">
        <f>IF(AND($C27&gt;=0,$C27&lt;=入力!$R$38),M$1,0)</f>
        <v>0</v>
      </c>
      <c r="N27" s="3">
        <f>IF(AND($C27&gt;=0,$C27&lt;=入力!$R$38),N$1,0)</f>
        <v>0</v>
      </c>
      <c r="O27" s="3">
        <f>IF(AND($C27&gt;=0,$C27&lt;=入力!$R$38),O$1,0)</f>
        <v>0</v>
      </c>
      <c r="P27" s="3">
        <f>IF(AND($C27&gt;=0,$C27&lt;=入力!$R$38),P$1,0)</f>
        <v>0</v>
      </c>
      <c r="Q27" s="3">
        <f>IF(AND($C27&gt;=0,$C27&lt;=入力!$R$38),Q$1,0)</f>
        <v>0</v>
      </c>
      <c r="R27" s="3"/>
      <c r="S27" s="14"/>
      <c r="T27" s="18">
        <f t="shared" si="1"/>
        <v>0</v>
      </c>
      <c r="U27" s="24">
        <f t="shared" si="2"/>
        <v>0</v>
      </c>
      <c r="V27" s="5"/>
      <c r="W27" s="3">
        <f>IF(AND($C27&gt;=10,$C27&lt;=入力!$R$38),W$1,0)</f>
        <v>0</v>
      </c>
      <c r="X27" s="3">
        <f>IFERROR(VLOOKUP($C27,学費計算!$C:$R,学費計算!H$1,0),0)</f>
        <v>0</v>
      </c>
      <c r="Y27" s="3">
        <f>IFERROR(VLOOKUP($C27,学費計算!$C:$R,学費計算!I$1,0),0)</f>
        <v>0</v>
      </c>
      <c r="Z27" s="3">
        <f>IFERROR(VLOOKUP($C27,学費計算!$C:$R,学費計算!J$1,0),0)</f>
        <v>0</v>
      </c>
      <c r="AA27" s="3">
        <f>IFERROR(VLOOKUP($C27,学費計算!$C:$R,学費計算!K$1,0),0)</f>
        <v>0</v>
      </c>
      <c r="AB27" s="14"/>
      <c r="AC27" s="18">
        <f t="shared" si="3"/>
        <v>0</v>
      </c>
      <c r="AD27" s="24">
        <f t="shared" si="4"/>
        <v>0</v>
      </c>
      <c r="AE27" s="5">
        <f>IF(AND($C27&gt;=0,$C27&lt;=入力!$R$36),AE$1,0)</f>
        <v>0</v>
      </c>
      <c r="AF27" s="3"/>
      <c r="AG27" s="3"/>
      <c r="AH27" s="3"/>
      <c r="AI27" s="3"/>
      <c r="AJ27" s="14"/>
      <c r="AK27" s="18">
        <f t="shared" si="7"/>
        <v>0</v>
      </c>
      <c r="AL27" s="24">
        <f t="shared" si="5"/>
        <v>0</v>
      </c>
      <c r="AM27" s="24">
        <f t="shared" si="6"/>
        <v>0</v>
      </c>
    </row>
    <row r="28" spans="2:39" x14ac:dyDescent="0.25">
      <c r="B28" s="5">
        <f t="shared" si="8"/>
        <v>41</v>
      </c>
      <c r="C28" s="3">
        <f t="shared" si="9"/>
        <v>-78</v>
      </c>
      <c r="D28" s="34"/>
      <c r="E28" s="3">
        <f>IF(親1!D28&lt;=833.3+42*親1!AS28,IF(AND(C28&gt;=0,C28&lt;=3),1.5*12,IF(AND(C28&gt;3,C28&lt;=15),1*12,0)),IF(AND(C28&gt;=0,C28&lt;=15),0.5*12,0))</f>
        <v>0</v>
      </c>
      <c r="F28" s="3"/>
      <c r="G28" s="3"/>
      <c r="H28" s="3"/>
      <c r="I28" s="14"/>
      <c r="J28" s="24">
        <f t="shared" si="0"/>
        <v>0</v>
      </c>
      <c r="K28" s="5"/>
      <c r="L28" s="3"/>
      <c r="M28" s="3">
        <f>IF(AND($C28&gt;=0,$C28&lt;=入力!$R$38),M$1,0)</f>
        <v>0</v>
      </c>
      <c r="N28" s="3">
        <f>IF(AND($C28&gt;=0,$C28&lt;=入力!$R$38),N$1,0)</f>
        <v>0</v>
      </c>
      <c r="O28" s="3">
        <f>IF(AND($C28&gt;=0,$C28&lt;=入力!$R$38),O$1,0)</f>
        <v>0</v>
      </c>
      <c r="P28" s="3">
        <f>IF(AND($C28&gt;=0,$C28&lt;=入力!$R$38),P$1,0)</f>
        <v>0</v>
      </c>
      <c r="Q28" s="3">
        <f>IF(AND($C28&gt;=0,$C28&lt;=入力!$R$38),Q$1,0)</f>
        <v>0</v>
      </c>
      <c r="R28" s="3"/>
      <c r="S28" s="14"/>
      <c r="T28" s="18">
        <f t="shared" si="1"/>
        <v>0</v>
      </c>
      <c r="U28" s="24">
        <f t="shared" si="2"/>
        <v>0</v>
      </c>
      <c r="V28" s="5"/>
      <c r="W28" s="3">
        <f>IF(AND($C28&gt;=10,$C28&lt;=入力!$R$38),W$1,0)</f>
        <v>0</v>
      </c>
      <c r="X28" s="3">
        <f>IFERROR(VLOOKUP($C28,学費計算!$C:$R,学費計算!H$1,0),0)</f>
        <v>0</v>
      </c>
      <c r="Y28" s="3">
        <f>IFERROR(VLOOKUP($C28,学費計算!$C:$R,学費計算!I$1,0),0)</f>
        <v>0</v>
      </c>
      <c r="Z28" s="3">
        <f>IFERROR(VLOOKUP($C28,学費計算!$C:$R,学費計算!J$1,0),0)</f>
        <v>0</v>
      </c>
      <c r="AA28" s="3">
        <f>IFERROR(VLOOKUP($C28,学費計算!$C:$R,学費計算!K$1,0),0)</f>
        <v>0</v>
      </c>
      <c r="AB28" s="14"/>
      <c r="AC28" s="18">
        <f t="shared" si="3"/>
        <v>0</v>
      </c>
      <c r="AD28" s="24">
        <f t="shared" si="4"/>
        <v>0</v>
      </c>
      <c r="AE28" s="5">
        <f>IF(AND($C28&gt;=0,$C28&lt;=入力!$R$36),AE$1,0)</f>
        <v>0</v>
      </c>
      <c r="AF28" s="3"/>
      <c r="AG28" s="3"/>
      <c r="AH28" s="3"/>
      <c r="AI28" s="3"/>
      <c r="AJ28" s="14"/>
      <c r="AK28" s="18">
        <f t="shared" si="7"/>
        <v>0</v>
      </c>
      <c r="AL28" s="24">
        <f t="shared" si="5"/>
        <v>0</v>
      </c>
      <c r="AM28" s="24">
        <f t="shared" si="6"/>
        <v>0</v>
      </c>
    </row>
    <row r="29" spans="2:39" x14ac:dyDescent="0.25">
      <c r="B29" s="5">
        <f t="shared" si="8"/>
        <v>42</v>
      </c>
      <c r="C29" s="3">
        <f t="shared" si="9"/>
        <v>-77</v>
      </c>
      <c r="D29" s="34"/>
      <c r="E29" s="3">
        <f>IF(親1!D29&lt;=833.3+42*親1!AS29,IF(AND(C29&gt;=0,C29&lt;=3),1.5*12,IF(AND(C29&gt;3,C29&lt;=15),1*12,0)),IF(AND(C29&gt;=0,C29&lt;=15),0.5*12,0))</f>
        <v>0</v>
      </c>
      <c r="F29" s="3"/>
      <c r="G29" s="3"/>
      <c r="H29" s="3"/>
      <c r="I29" s="14"/>
      <c r="J29" s="24">
        <f t="shared" si="0"/>
        <v>0</v>
      </c>
      <c r="K29" s="5"/>
      <c r="L29" s="3"/>
      <c r="M29" s="3">
        <f>IF(AND($C29&gt;=0,$C29&lt;=入力!$R$38),M$1,0)</f>
        <v>0</v>
      </c>
      <c r="N29" s="3">
        <f>IF(AND($C29&gt;=0,$C29&lt;=入力!$R$38),N$1,0)</f>
        <v>0</v>
      </c>
      <c r="O29" s="3">
        <f>IF(AND($C29&gt;=0,$C29&lt;=入力!$R$38),O$1,0)</f>
        <v>0</v>
      </c>
      <c r="P29" s="3">
        <f>IF(AND($C29&gt;=0,$C29&lt;=入力!$R$38),P$1,0)</f>
        <v>0</v>
      </c>
      <c r="Q29" s="3">
        <f>IF(AND($C29&gt;=0,$C29&lt;=入力!$R$38),Q$1,0)</f>
        <v>0</v>
      </c>
      <c r="R29" s="3"/>
      <c r="S29" s="14"/>
      <c r="T29" s="18">
        <f t="shared" si="1"/>
        <v>0</v>
      </c>
      <c r="U29" s="24">
        <f t="shared" si="2"/>
        <v>0</v>
      </c>
      <c r="V29" s="5"/>
      <c r="W29" s="3">
        <f>IF(AND($C29&gt;=10,$C29&lt;=入力!$R$38),W$1,0)</f>
        <v>0</v>
      </c>
      <c r="X29" s="3">
        <f>IFERROR(VLOOKUP($C29,学費計算!$C:$R,学費計算!H$1,0),0)</f>
        <v>0</v>
      </c>
      <c r="Y29" s="3">
        <f>IFERROR(VLOOKUP($C29,学費計算!$C:$R,学費計算!I$1,0),0)</f>
        <v>0</v>
      </c>
      <c r="Z29" s="3">
        <f>IFERROR(VLOOKUP($C29,学費計算!$C:$R,学費計算!J$1,0),0)</f>
        <v>0</v>
      </c>
      <c r="AA29" s="3">
        <f>IFERROR(VLOOKUP($C29,学費計算!$C:$R,学費計算!K$1,0),0)</f>
        <v>0</v>
      </c>
      <c r="AB29" s="14"/>
      <c r="AC29" s="18">
        <f t="shared" si="3"/>
        <v>0</v>
      </c>
      <c r="AD29" s="24">
        <f t="shared" si="4"/>
        <v>0</v>
      </c>
      <c r="AE29" s="5">
        <f>IF(AND($C29&gt;=0,$C29&lt;=入力!$R$36),AE$1,0)</f>
        <v>0</v>
      </c>
      <c r="AF29" s="3"/>
      <c r="AG29" s="3"/>
      <c r="AH29" s="3"/>
      <c r="AI29" s="3"/>
      <c r="AJ29" s="14"/>
      <c r="AK29" s="18">
        <f t="shared" si="7"/>
        <v>0</v>
      </c>
      <c r="AL29" s="24">
        <f t="shared" si="5"/>
        <v>0</v>
      </c>
      <c r="AM29" s="24">
        <f t="shared" si="6"/>
        <v>0</v>
      </c>
    </row>
    <row r="30" spans="2:39" x14ac:dyDescent="0.25">
      <c r="B30" s="5">
        <f t="shared" si="8"/>
        <v>43</v>
      </c>
      <c r="C30" s="3">
        <f t="shared" si="9"/>
        <v>-76</v>
      </c>
      <c r="D30" s="34"/>
      <c r="E30" s="3">
        <f>IF(親1!D30&lt;=833.3+42*親1!AS30,IF(AND(C30&gt;=0,C30&lt;=3),1.5*12,IF(AND(C30&gt;3,C30&lt;=15),1*12,0)),IF(AND(C30&gt;=0,C30&lt;=15),0.5*12,0))</f>
        <v>0</v>
      </c>
      <c r="F30" s="3"/>
      <c r="G30" s="3"/>
      <c r="H30" s="3"/>
      <c r="I30" s="14"/>
      <c r="J30" s="24">
        <f t="shared" si="0"/>
        <v>0</v>
      </c>
      <c r="K30" s="5"/>
      <c r="L30" s="3"/>
      <c r="M30" s="3">
        <f>IF(AND($C30&gt;=0,$C30&lt;=入力!$R$38),M$1,0)</f>
        <v>0</v>
      </c>
      <c r="N30" s="3">
        <f>IF(AND($C30&gt;=0,$C30&lt;=入力!$R$38),N$1,0)</f>
        <v>0</v>
      </c>
      <c r="O30" s="3">
        <f>IF(AND($C30&gt;=0,$C30&lt;=入力!$R$38),O$1,0)</f>
        <v>0</v>
      </c>
      <c r="P30" s="3">
        <f>IF(AND($C30&gt;=0,$C30&lt;=入力!$R$38),P$1,0)</f>
        <v>0</v>
      </c>
      <c r="Q30" s="3">
        <f>IF(AND($C30&gt;=0,$C30&lt;=入力!$R$38),Q$1,0)</f>
        <v>0</v>
      </c>
      <c r="R30" s="3"/>
      <c r="S30" s="14"/>
      <c r="T30" s="18">
        <f t="shared" si="1"/>
        <v>0</v>
      </c>
      <c r="U30" s="24">
        <f t="shared" si="2"/>
        <v>0</v>
      </c>
      <c r="V30" s="5"/>
      <c r="W30" s="3">
        <f>IF(AND($C30&gt;=10,$C30&lt;=入力!$R$38),W$1,0)</f>
        <v>0</v>
      </c>
      <c r="X30" s="3">
        <f>IFERROR(VLOOKUP($C30,学費計算!$C:$R,学費計算!H$1,0),0)</f>
        <v>0</v>
      </c>
      <c r="Y30" s="3">
        <f>IFERROR(VLOOKUP($C30,学費計算!$C:$R,学費計算!I$1,0),0)</f>
        <v>0</v>
      </c>
      <c r="Z30" s="3">
        <f>IFERROR(VLOOKUP($C30,学費計算!$C:$R,学費計算!J$1,0),0)</f>
        <v>0</v>
      </c>
      <c r="AA30" s="3">
        <f>IFERROR(VLOOKUP($C30,学費計算!$C:$R,学費計算!K$1,0),0)</f>
        <v>0</v>
      </c>
      <c r="AB30" s="14"/>
      <c r="AC30" s="18">
        <f t="shared" si="3"/>
        <v>0</v>
      </c>
      <c r="AD30" s="24">
        <f t="shared" si="4"/>
        <v>0</v>
      </c>
      <c r="AE30" s="5">
        <f>IF(AND($C30&gt;=0,$C30&lt;=入力!$R$36),AE$1,0)</f>
        <v>0</v>
      </c>
      <c r="AF30" s="3"/>
      <c r="AG30" s="3"/>
      <c r="AH30" s="3"/>
      <c r="AI30" s="3"/>
      <c r="AJ30" s="14"/>
      <c r="AK30" s="18">
        <f t="shared" si="7"/>
        <v>0</v>
      </c>
      <c r="AL30" s="24">
        <f t="shared" si="5"/>
        <v>0</v>
      </c>
      <c r="AM30" s="24">
        <f t="shared" si="6"/>
        <v>0</v>
      </c>
    </row>
    <row r="31" spans="2:39" x14ac:dyDescent="0.25">
      <c r="B31" s="5">
        <f t="shared" si="8"/>
        <v>44</v>
      </c>
      <c r="C31" s="3">
        <f t="shared" si="9"/>
        <v>-75</v>
      </c>
      <c r="D31" s="34"/>
      <c r="E31" s="3">
        <f>IF(親1!D31&lt;=833.3+42*親1!AS31,IF(AND(C31&gt;=0,C31&lt;=3),1.5*12,IF(AND(C31&gt;3,C31&lt;=15),1*12,0)),IF(AND(C31&gt;=0,C31&lt;=15),0.5*12,0))</f>
        <v>0</v>
      </c>
      <c r="F31" s="3"/>
      <c r="G31" s="3"/>
      <c r="H31" s="3"/>
      <c r="I31" s="14"/>
      <c r="J31" s="24">
        <f t="shared" si="0"/>
        <v>0</v>
      </c>
      <c r="K31" s="5"/>
      <c r="L31" s="3"/>
      <c r="M31" s="3">
        <f>IF(AND($C31&gt;=0,$C31&lt;=入力!$R$38),M$1,0)</f>
        <v>0</v>
      </c>
      <c r="N31" s="3">
        <f>IF(AND($C31&gt;=0,$C31&lt;=入力!$R$38),N$1,0)</f>
        <v>0</v>
      </c>
      <c r="O31" s="3">
        <f>IF(AND($C31&gt;=0,$C31&lt;=入力!$R$38),O$1,0)</f>
        <v>0</v>
      </c>
      <c r="P31" s="3">
        <f>IF(AND($C31&gt;=0,$C31&lt;=入力!$R$38),P$1,0)</f>
        <v>0</v>
      </c>
      <c r="Q31" s="3">
        <f>IF(AND($C31&gt;=0,$C31&lt;=入力!$R$38),Q$1,0)</f>
        <v>0</v>
      </c>
      <c r="R31" s="3"/>
      <c r="S31" s="14"/>
      <c r="T31" s="18">
        <f t="shared" si="1"/>
        <v>0</v>
      </c>
      <c r="U31" s="24">
        <f t="shared" si="2"/>
        <v>0</v>
      </c>
      <c r="V31" s="5"/>
      <c r="W31" s="3">
        <f>IF(AND($C31&gt;=10,$C31&lt;=入力!$R$38),W$1,0)</f>
        <v>0</v>
      </c>
      <c r="X31" s="3">
        <f>IFERROR(VLOOKUP($C31,学費計算!$C:$R,学費計算!H$1,0),0)</f>
        <v>0</v>
      </c>
      <c r="Y31" s="3">
        <f>IFERROR(VLOOKUP($C31,学費計算!$C:$R,学費計算!I$1,0),0)</f>
        <v>0</v>
      </c>
      <c r="Z31" s="3">
        <f>IFERROR(VLOOKUP($C31,学費計算!$C:$R,学費計算!J$1,0),0)</f>
        <v>0</v>
      </c>
      <c r="AA31" s="3">
        <f>IFERROR(VLOOKUP($C31,学費計算!$C:$R,学費計算!K$1,0),0)</f>
        <v>0</v>
      </c>
      <c r="AB31" s="14"/>
      <c r="AC31" s="18">
        <f t="shared" si="3"/>
        <v>0</v>
      </c>
      <c r="AD31" s="24">
        <f t="shared" si="4"/>
        <v>0</v>
      </c>
      <c r="AE31" s="5">
        <f>IF(AND($C31&gt;=0,$C31&lt;=入力!$R$36),AE$1,0)</f>
        <v>0</v>
      </c>
      <c r="AF31" s="3"/>
      <c r="AG31" s="3"/>
      <c r="AH31" s="3"/>
      <c r="AI31" s="3"/>
      <c r="AJ31" s="14"/>
      <c r="AK31" s="18">
        <f t="shared" si="7"/>
        <v>0</v>
      </c>
      <c r="AL31" s="24">
        <f t="shared" si="5"/>
        <v>0</v>
      </c>
      <c r="AM31" s="24">
        <f t="shared" si="6"/>
        <v>0</v>
      </c>
    </row>
    <row r="32" spans="2:39" x14ac:dyDescent="0.25">
      <c r="B32" s="5">
        <f t="shared" si="8"/>
        <v>45</v>
      </c>
      <c r="C32" s="3">
        <f t="shared" si="9"/>
        <v>-74</v>
      </c>
      <c r="D32" s="34"/>
      <c r="E32" s="3">
        <f>IF(親1!D32&lt;=833.3+42*親1!AS32,IF(AND(C32&gt;=0,C32&lt;=3),1.5*12,IF(AND(C32&gt;3,C32&lt;=15),1*12,0)),IF(AND(C32&gt;=0,C32&lt;=15),0.5*12,0))</f>
        <v>0</v>
      </c>
      <c r="F32" s="3"/>
      <c r="G32" s="3"/>
      <c r="H32" s="3"/>
      <c r="I32" s="14"/>
      <c r="J32" s="24">
        <f t="shared" si="0"/>
        <v>0</v>
      </c>
      <c r="K32" s="5"/>
      <c r="L32" s="3"/>
      <c r="M32" s="3">
        <f>IF(AND($C32&gt;=0,$C32&lt;=入力!$R$38),M$1,0)</f>
        <v>0</v>
      </c>
      <c r="N32" s="3">
        <f>IF(AND($C32&gt;=0,$C32&lt;=入力!$R$38),N$1,0)</f>
        <v>0</v>
      </c>
      <c r="O32" s="3">
        <f>IF(AND($C32&gt;=0,$C32&lt;=入力!$R$38),O$1,0)</f>
        <v>0</v>
      </c>
      <c r="P32" s="3">
        <f>IF(AND($C32&gt;=0,$C32&lt;=入力!$R$38),P$1,0)</f>
        <v>0</v>
      </c>
      <c r="Q32" s="3">
        <f>IF(AND($C32&gt;=0,$C32&lt;=入力!$R$38),Q$1,0)</f>
        <v>0</v>
      </c>
      <c r="R32" s="3"/>
      <c r="S32" s="14"/>
      <c r="T32" s="18">
        <f t="shared" si="1"/>
        <v>0</v>
      </c>
      <c r="U32" s="24">
        <f t="shared" si="2"/>
        <v>0</v>
      </c>
      <c r="V32" s="5"/>
      <c r="W32" s="3">
        <f>IF(AND($C32&gt;=10,$C32&lt;=入力!$R$38),W$1,0)</f>
        <v>0</v>
      </c>
      <c r="X32" s="3">
        <f>IFERROR(VLOOKUP($C32,学費計算!$C:$R,学費計算!H$1,0),0)</f>
        <v>0</v>
      </c>
      <c r="Y32" s="3">
        <f>IFERROR(VLOOKUP($C32,学費計算!$C:$R,学費計算!I$1,0),0)</f>
        <v>0</v>
      </c>
      <c r="Z32" s="3">
        <f>IFERROR(VLOOKUP($C32,学費計算!$C:$R,学費計算!J$1,0),0)</f>
        <v>0</v>
      </c>
      <c r="AA32" s="3">
        <f>IFERROR(VLOOKUP($C32,学費計算!$C:$R,学費計算!K$1,0),0)</f>
        <v>0</v>
      </c>
      <c r="AB32" s="14"/>
      <c r="AC32" s="18">
        <f t="shared" si="3"/>
        <v>0</v>
      </c>
      <c r="AD32" s="24">
        <f t="shared" si="4"/>
        <v>0</v>
      </c>
      <c r="AE32" s="5">
        <f>IF(AND($C32&gt;=0,$C32&lt;=入力!$R$36),AE$1,0)</f>
        <v>0</v>
      </c>
      <c r="AF32" s="3"/>
      <c r="AG32" s="3"/>
      <c r="AH32" s="3"/>
      <c r="AI32" s="3"/>
      <c r="AJ32" s="14"/>
      <c r="AK32" s="18">
        <f t="shared" si="7"/>
        <v>0</v>
      </c>
      <c r="AL32" s="24">
        <f t="shared" si="5"/>
        <v>0</v>
      </c>
      <c r="AM32" s="24">
        <f t="shared" si="6"/>
        <v>0</v>
      </c>
    </row>
    <row r="33" spans="2:39" x14ac:dyDescent="0.25">
      <c r="B33" s="5">
        <f t="shared" si="8"/>
        <v>46</v>
      </c>
      <c r="C33" s="3">
        <f t="shared" si="9"/>
        <v>-73</v>
      </c>
      <c r="D33" s="34"/>
      <c r="E33" s="3">
        <f>IF(親1!D33&lt;=833.3+42*親1!AS33,IF(AND(C33&gt;=0,C33&lt;=3),1.5*12,IF(AND(C33&gt;3,C33&lt;=15),1*12,0)),IF(AND(C33&gt;=0,C33&lt;=15),0.5*12,0))</f>
        <v>0</v>
      </c>
      <c r="F33" s="3"/>
      <c r="G33" s="3"/>
      <c r="H33" s="3"/>
      <c r="I33" s="14"/>
      <c r="J33" s="24">
        <f t="shared" si="0"/>
        <v>0</v>
      </c>
      <c r="K33" s="5"/>
      <c r="L33" s="3"/>
      <c r="M33" s="3">
        <f>IF(AND($C33&gt;=0,$C33&lt;=入力!$R$38),M$1,0)</f>
        <v>0</v>
      </c>
      <c r="N33" s="3">
        <f>IF(AND($C33&gt;=0,$C33&lt;=入力!$R$38),N$1,0)</f>
        <v>0</v>
      </c>
      <c r="O33" s="3">
        <f>IF(AND($C33&gt;=0,$C33&lt;=入力!$R$38),O$1,0)</f>
        <v>0</v>
      </c>
      <c r="P33" s="3">
        <f>IF(AND($C33&gt;=0,$C33&lt;=入力!$R$38),P$1,0)</f>
        <v>0</v>
      </c>
      <c r="Q33" s="3">
        <f>IF(AND($C33&gt;=0,$C33&lt;=入力!$R$38),Q$1,0)</f>
        <v>0</v>
      </c>
      <c r="R33" s="3"/>
      <c r="S33" s="14"/>
      <c r="T33" s="18">
        <f t="shared" si="1"/>
        <v>0</v>
      </c>
      <c r="U33" s="24">
        <f t="shared" si="2"/>
        <v>0</v>
      </c>
      <c r="V33" s="5"/>
      <c r="W33" s="3">
        <f>IF(AND($C33&gt;=10,$C33&lt;=入力!$R$38),W$1,0)</f>
        <v>0</v>
      </c>
      <c r="X33" s="3">
        <f>IFERROR(VLOOKUP($C33,学費計算!$C:$R,学費計算!H$1,0),0)</f>
        <v>0</v>
      </c>
      <c r="Y33" s="3">
        <f>IFERROR(VLOOKUP($C33,学費計算!$C:$R,学費計算!I$1,0),0)</f>
        <v>0</v>
      </c>
      <c r="Z33" s="3">
        <f>IFERROR(VLOOKUP($C33,学費計算!$C:$R,学費計算!J$1,0),0)</f>
        <v>0</v>
      </c>
      <c r="AA33" s="3">
        <f>IFERROR(VLOOKUP($C33,学費計算!$C:$R,学費計算!K$1,0),0)</f>
        <v>0</v>
      </c>
      <c r="AB33" s="14"/>
      <c r="AC33" s="18">
        <f t="shared" si="3"/>
        <v>0</v>
      </c>
      <c r="AD33" s="24">
        <f t="shared" si="4"/>
        <v>0</v>
      </c>
      <c r="AE33" s="5">
        <f>IF(AND($C33&gt;=0,$C33&lt;=入力!$R$36),AE$1,0)</f>
        <v>0</v>
      </c>
      <c r="AF33" s="3"/>
      <c r="AG33" s="3"/>
      <c r="AH33" s="3"/>
      <c r="AI33" s="3"/>
      <c r="AJ33" s="14"/>
      <c r="AK33" s="18">
        <f t="shared" si="7"/>
        <v>0</v>
      </c>
      <c r="AL33" s="24">
        <f t="shared" si="5"/>
        <v>0</v>
      </c>
      <c r="AM33" s="24">
        <f t="shared" si="6"/>
        <v>0</v>
      </c>
    </row>
    <row r="34" spans="2:39" x14ac:dyDescent="0.25">
      <c r="B34" s="5">
        <f t="shared" si="8"/>
        <v>47</v>
      </c>
      <c r="C34" s="3">
        <f t="shared" si="9"/>
        <v>-72</v>
      </c>
      <c r="D34" s="34"/>
      <c r="E34" s="3">
        <f>IF(親1!D34&lt;=833.3+42*親1!AS34,IF(AND(C34&gt;=0,C34&lt;=3),1.5*12,IF(AND(C34&gt;3,C34&lt;=15),1*12,0)),IF(AND(C34&gt;=0,C34&lt;=15),0.5*12,0))</f>
        <v>0</v>
      </c>
      <c r="F34" s="3"/>
      <c r="G34" s="3"/>
      <c r="H34" s="3"/>
      <c r="I34" s="14"/>
      <c r="J34" s="24">
        <f t="shared" si="0"/>
        <v>0</v>
      </c>
      <c r="K34" s="5"/>
      <c r="L34" s="3"/>
      <c r="M34" s="3">
        <f>IF(AND($C34&gt;=0,$C34&lt;=入力!$R$38),M$1,0)</f>
        <v>0</v>
      </c>
      <c r="N34" s="3">
        <f>IF(AND($C34&gt;=0,$C34&lt;=入力!$R$38),N$1,0)</f>
        <v>0</v>
      </c>
      <c r="O34" s="3">
        <f>IF(AND($C34&gt;=0,$C34&lt;=入力!$R$38),O$1,0)</f>
        <v>0</v>
      </c>
      <c r="P34" s="3">
        <f>IF(AND($C34&gt;=0,$C34&lt;=入力!$R$38),P$1,0)</f>
        <v>0</v>
      </c>
      <c r="Q34" s="3">
        <f>IF(AND($C34&gt;=0,$C34&lt;=入力!$R$38),Q$1,0)</f>
        <v>0</v>
      </c>
      <c r="R34" s="3"/>
      <c r="S34" s="14"/>
      <c r="T34" s="18">
        <f t="shared" si="1"/>
        <v>0</v>
      </c>
      <c r="U34" s="24">
        <f t="shared" si="2"/>
        <v>0</v>
      </c>
      <c r="V34" s="5"/>
      <c r="W34" s="3">
        <f>IF(AND($C34&gt;=10,$C34&lt;=入力!$R$38),W$1,0)</f>
        <v>0</v>
      </c>
      <c r="X34" s="3">
        <f>IFERROR(VLOOKUP($C34,学費計算!$C:$R,学費計算!H$1,0),0)</f>
        <v>0</v>
      </c>
      <c r="Y34" s="3">
        <f>IFERROR(VLOOKUP($C34,学費計算!$C:$R,学費計算!I$1,0),0)</f>
        <v>0</v>
      </c>
      <c r="Z34" s="3">
        <f>IFERROR(VLOOKUP($C34,学費計算!$C:$R,学費計算!J$1,0),0)</f>
        <v>0</v>
      </c>
      <c r="AA34" s="3">
        <f>IFERROR(VLOOKUP($C34,学費計算!$C:$R,学費計算!K$1,0),0)</f>
        <v>0</v>
      </c>
      <c r="AB34" s="14"/>
      <c r="AC34" s="18">
        <f t="shared" si="3"/>
        <v>0</v>
      </c>
      <c r="AD34" s="24">
        <f t="shared" si="4"/>
        <v>0</v>
      </c>
      <c r="AE34" s="5">
        <f>IF(AND($C34&gt;=0,$C34&lt;=入力!$R$36),AE$1,0)</f>
        <v>0</v>
      </c>
      <c r="AF34" s="3"/>
      <c r="AG34" s="3"/>
      <c r="AH34" s="3"/>
      <c r="AI34" s="3"/>
      <c r="AJ34" s="14"/>
      <c r="AK34" s="18">
        <f t="shared" si="7"/>
        <v>0</v>
      </c>
      <c r="AL34" s="24">
        <f t="shared" si="5"/>
        <v>0</v>
      </c>
      <c r="AM34" s="24">
        <f t="shared" si="6"/>
        <v>0</v>
      </c>
    </row>
    <row r="35" spans="2:39" x14ac:dyDescent="0.25">
      <c r="B35" s="5">
        <f t="shared" si="8"/>
        <v>48</v>
      </c>
      <c r="C35" s="3">
        <f t="shared" si="9"/>
        <v>-71</v>
      </c>
      <c r="D35" s="34"/>
      <c r="E35" s="3">
        <f>IF(親1!D35&lt;=833.3+42*親1!AS35,IF(AND(C35&gt;=0,C35&lt;=3),1.5*12,IF(AND(C35&gt;3,C35&lt;=15),1*12,0)),IF(AND(C35&gt;=0,C35&lt;=15),0.5*12,0))</f>
        <v>0</v>
      </c>
      <c r="F35" s="3"/>
      <c r="G35" s="3"/>
      <c r="H35" s="3"/>
      <c r="I35" s="14"/>
      <c r="J35" s="24">
        <f t="shared" si="0"/>
        <v>0</v>
      </c>
      <c r="K35" s="5"/>
      <c r="L35" s="3"/>
      <c r="M35" s="3">
        <f>IF(AND($C35&gt;=0,$C35&lt;=入力!$R$38),M$1,0)</f>
        <v>0</v>
      </c>
      <c r="N35" s="3">
        <f>IF(AND($C35&gt;=0,$C35&lt;=入力!$R$38),N$1,0)</f>
        <v>0</v>
      </c>
      <c r="O35" s="3">
        <f>IF(AND($C35&gt;=0,$C35&lt;=入力!$R$38),O$1,0)</f>
        <v>0</v>
      </c>
      <c r="P35" s="3">
        <f>IF(AND($C35&gt;=0,$C35&lt;=入力!$R$38),P$1,0)</f>
        <v>0</v>
      </c>
      <c r="Q35" s="3">
        <f>IF(AND($C35&gt;=0,$C35&lt;=入力!$R$38),Q$1,0)</f>
        <v>0</v>
      </c>
      <c r="R35" s="3"/>
      <c r="S35" s="14"/>
      <c r="T35" s="18">
        <f t="shared" si="1"/>
        <v>0</v>
      </c>
      <c r="U35" s="24">
        <f t="shared" si="2"/>
        <v>0</v>
      </c>
      <c r="V35" s="5"/>
      <c r="W35" s="3">
        <f>IF(AND($C35&gt;=10,$C35&lt;=入力!$R$38),W$1,0)</f>
        <v>0</v>
      </c>
      <c r="X35" s="3">
        <f>IFERROR(VLOOKUP($C35,学費計算!$C:$R,学費計算!H$1,0),0)</f>
        <v>0</v>
      </c>
      <c r="Y35" s="3">
        <f>IFERROR(VLOOKUP($C35,学費計算!$C:$R,学費計算!I$1,0),0)</f>
        <v>0</v>
      </c>
      <c r="Z35" s="3">
        <f>IFERROR(VLOOKUP($C35,学費計算!$C:$R,学費計算!J$1,0),0)</f>
        <v>0</v>
      </c>
      <c r="AA35" s="3">
        <f>IFERROR(VLOOKUP($C35,学費計算!$C:$R,学費計算!K$1,0),0)</f>
        <v>0</v>
      </c>
      <c r="AB35" s="14"/>
      <c r="AC35" s="18">
        <f t="shared" si="3"/>
        <v>0</v>
      </c>
      <c r="AD35" s="24">
        <f t="shared" si="4"/>
        <v>0</v>
      </c>
      <c r="AE35" s="5">
        <f>IF(AND($C35&gt;=0,$C35&lt;=入力!$R$36),AE$1,0)</f>
        <v>0</v>
      </c>
      <c r="AF35" s="3"/>
      <c r="AG35" s="3"/>
      <c r="AH35" s="3"/>
      <c r="AI35" s="3"/>
      <c r="AJ35" s="14"/>
      <c r="AK35" s="18">
        <f t="shared" si="7"/>
        <v>0</v>
      </c>
      <c r="AL35" s="24">
        <f t="shared" si="5"/>
        <v>0</v>
      </c>
      <c r="AM35" s="24">
        <f t="shared" si="6"/>
        <v>0</v>
      </c>
    </row>
    <row r="36" spans="2:39" x14ac:dyDescent="0.25">
      <c r="B36" s="5">
        <f t="shared" si="8"/>
        <v>49</v>
      </c>
      <c r="C36" s="3">
        <f t="shared" si="9"/>
        <v>-70</v>
      </c>
      <c r="D36" s="34"/>
      <c r="E36" s="3">
        <f>IF(親1!D36&lt;=833.3+42*親1!AS36,IF(AND(C36&gt;=0,C36&lt;=3),1.5*12,IF(AND(C36&gt;3,C36&lt;=15),1*12,0)),IF(AND(C36&gt;=0,C36&lt;=15),0.5*12,0))</f>
        <v>0</v>
      </c>
      <c r="F36" s="3"/>
      <c r="G36" s="3"/>
      <c r="H36" s="3"/>
      <c r="I36" s="14"/>
      <c r="J36" s="24">
        <f t="shared" si="0"/>
        <v>0</v>
      </c>
      <c r="K36" s="5"/>
      <c r="L36" s="3"/>
      <c r="M36" s="3">
        <f>IF(AND($C36&gt;=0,$C36&lt;=入力!$R$38),M$1,0)</f>
        <v>0</v>
      </c>
      <c r="N36" s="3">
        <f>IF(AND($C36&gt;=0,$C36&lt;=入力!$R$38),N$1,0)</f>
        <v>0</v>
      </c>
      <c r="O36" s="3">
        <f>IF(AND($C36&gt;=0,$C36&lt;=入力!$R$38),O$1,0)</f>
        <v>0</v>
      </c>
      <c r="P36" s="3">
        <f>IF(AND($C36&gt;=0,$C36&lt;=入力!$R$38),P$1,0)</f>
        <v>0</v>
      </c>
      <c r="Q36" s="3">
        <f>IF(AND($C36&gt;=0,$C36&lt;=入力!$R$38),Q$1,0)</f>
        <v>0</v>
      </c>
      <c r="R36" s="3"/>
      <c r="S36" s="14"/>
      <c r="T36" s="18">
        <f t="shared" si="1"/>
        <v>0</v>
      </c>
      <c r="U36" s="24">
        <f t="shared" si="2"/>
        <v>0</v>
      </c>
      <c r="V36" s="5"/>
      <c r="W36" s="3">
        <f>IF(AND($C36&gt;=10,$C36&lt;=入力!$R$38),W$1,0)</f>
        <v>0</v>
      </c>
      <c r="X36" s="3">
        <f>IFERROR(VLOOKUP($C36,学費計算!$C:$R,学費計算!H$1,0),0)</f>
        <v>0</v>
      </c>
      <c r="Y36" s="3">
        <f>IFERROR(VLOOKUP($C36,学費計算!$C:$R,学費計算!I$1,0),0)</f>
        <v>0</v>
      </c>
      <c r="Z36" s="3">
        <f>IFERROR(VLOOKUP($C36,学費計算!$C:$R,学費計算!J$1,0),0)</f>
        <v>0</v>
      </c>
      <c r="AA36" s="3">
        <f>IFERROR(VLOOKUP($C36,学費計算!$C:$R,学費計算!K$1,0),0)</f>
        <v>0</v>
      </c>
      <c r="AB36" s="14"/>
      <c r="AC36" s="18">
        <f t="shared" si="3"/>
        <v>0</v>
      </c>
      <c r="AD36" s="24">
        <f t="shared" si="4"/>
        <v>0</v>
      </c>
      <c r="AE36" s="5">
        <f>IF(AND($C36&gt;=0,$C36&lt;=入力!$R$36),AE$1,0)</f>
        <v>0</v>
      </c>
      <c r="AF36" s="3"/>
      <c r="AG36" s="3"/>
      <c r="AH36" s="3"/>
      <c r="AI36" s="3"/>
      <c r="AJ36" s="14"/>
      <c r="AK36" s="18">
        <f t="shared" si="7"/>
        <v>0</v>
      </c>
      <c r="AL36" s="24">
        <f t="shared" si="5"/>
        <v>0</v>
      </c>
      <c r="AM36" s="24">
        <f t="shared" si="6"/>
        <v>0</v>
      </c>
    </row>
    <row r="37" spans="2:39" x14ac:dyDescent="0.25">
      <c r="B37" s="5">
        <f t="shared" si="8"/>
        <v>50</v>
      </c>
      <c r="C37" s="3">
        <f t="shared" si="9"/>
        <v>-69</v>
      </c>
      <c r="D37" s="34"/>
      <c r="E37" s="3">
        <f>IF(親1!D37&lt;=833.3+42*親1!AS37,IF(AND(C37&gt;=0,C37&lt;=3),1.5*12,IF(AND(C37&gt;3,C37&lt;=15),1*12,0)),IF(AND(C37&gt;=0,C37&lt;=15),0.5*12,0))</f>
        <v>0</v>
      </c>
      <c r="F37" s="3"/>
      <c r="G37" s="3"/>
      <c r="H37" s="3"/>
      <c r="I37" s="14"/>
      <c r="J37" s="24">
        <f t="shared" si="0"/>
        <v>0</v>
      </c>
      <c r="K37" s="5"/>
      <c r="L37" s="3"/>
      <c r="M37" s="3">
        <f>IF(AND($C37&gt;=0,$C37&lt;=入力!$R$38),M$1,0)</f>
        <v>0</v>
      </c>
      <c r="N37" s="3">
        <f>IF(AND($C37&gt;=0,$C37&lt;=入力!$R$38),N$1,0)</f>
        <v>0</v>
      </c>
      <c r="O37" s="3">
        <f>IF(AND($C37&gt;=0,$C37&lt;=入力!$R$38),O$1,0)</f>
        <v>0</v>
      </c>
      <c r="P37" s="3">
        <f>IF(AND($C37&gt;=0,$C37&lt;=入力!$R$38),P$1,0)</f>
        <v>0</v>
      </c>
      <c r="Q37" s="3">
        <f>IF(AND($C37&gt;=0,$C37&lt;=入力!$R$38),Q$1,0)</f>
        <v>0</v>
      </c>
      <c r="R37" s="3"/>
      <c r="S37" s="14"/>
      <c r="T37" s="18">
        <f t="shared" si="1"/>
        <v>0</v>
      </c>
      <c r="U37" s="24">
        <f t="shared" si="2"/>
        <v>0</v>
      </c>
      <c r="V37" s="5"/>
      <c r="W37" s="3">
        <f>IF(AND($C37&gt;=10,$C37&lt;=入力!$R$38),W$1,0)</f>
        <v>0</v>
      </c>
      <c r="X37" s="3">
        <f>IFERROR(VLOOKUP($C37,学費計算!$C:$R,学費計算!H$1,0),0)</f>
        <v>0</v>
      </c>
      <c r="Y37" s="3">
        <f>IFERROR(VLOOKUP($C37,学費計算!$C:$R,学費計算!I$1,0),0)</f>
        <v>0</v>
      </c>
      <c r="Z37" s="3">
        <f>IFERROR(VLOOKUP($C37,学費計算!$C:$R,学費計算!J$1,0),0)</f>
        <v>0</v>
      </c>
      <c r="AA37" s="3">
        <f>IFERROR(VLOOKUP($C37,学費計算!$C:$R,学費計算!K$1,0),0)</f>
        <v>0</v>
      </c>
      <c r="AB37" s="14"/>
      <c r="AC37" s="18">
        <f t="shared" si="3"/>
        <v>0</v>
      </c>
      <c r="AD37" s="24">
        <f t="shared" si="4"/>
        <v>0</v>
      </c>
      <c r="AE37" s="5">
        <f>IF(AND($C37&gt;=0,$C37&lt;=入力!$R$36),AE$1,0)</f>
        <v>0</v>
      </c>
      <c r="AF37" s="3"/>
      <c r="AG37" s="3"/>
      <c r="AH37" s="3"/>
      <c r="AI37" s="3"/>
      <c r="AJ37" s="14"/>
      <c r="AK37" s="18">
        <f t="shared" si="7"/>
        <v>0</v>
      </c>
      <c r="AL37" s="24">
        <f t="shared" si="5"/>
        <v>0</v>
      </c>
      <c r="AM37" s="24">
        <f t="shared" si="6"/>
        <v>0</v>
      </c>
    </row>
    <row r="38" spans="2:39" x14ac:dyDescent="0.25">
      <c r="B38" s="5">
        <f t="shared" si="8"/>
        <v>51</v>
      </c>
      <c r="C38" s="3">
        <f t="shared" si="9"/>
        <v>-68</v>
      </c>
      <c r="D38" s="34"/>
      <c r="E38" s="3">
        <f>IF(親1!D38&lt;=833.3+42*親1!AS38,IF(AND(C38&gt;=0,C38&lt;=3),1.5*12,IF(AND(C38&gt;3,C38&lt;=15),1*12,0)),IF(AND(C38&gt;=0,C38&lt;=15),0.5*12,0))</f>
        <v>0</v>
      </c>
      <c r="F38" s="3"/>
      <c r="G38" s="3"/>
      <c r="H38" s="3"/>
      <c r="I38" s="14"/>
      <c r="J38" s="24">
        <f t="shared" si="0"/>
        <v>0</v>
      </c>
      <c r="K38" s="5"/>
      <c r="L38" s="3"/>
      <c r="M38" s="3">
        <f>IF(AND($C38&gt;=0,$C38&lt;=入力!$R$38),M$1,0)</f>
        <v>0</v>
      </c>
      <c r="N38" s="3">
        <f>IF(AND($C38&gt;=0,$C38&lt;=入力!$R$38),N$1,0)</f>
        <v>0</v>
      </c>
      <c r="O38" s="3">
        <f>IF(AND($C38&gt;=0,$C38&lt;=入力!$R$38),O$1,0)</f>
        <v>0</v>
      </c>
      <c r="P38" s="3">
        <f>IF(AND($C38&gt;=0,$C38&lt;=入力!$R$38),P$1,0)</f>
        <v>0</v>
      </c>
      <c r="Q38" s="3">
        <f>IF(AND($C38&gt;=0,$C38&lt;=入力!$R$38),Q$1,0)</f>
        <v>0</v>
      </c>
      <c r="R38" s="3"/>
      <c r="S38" s="14"/>
      <c r="T38" s="18">
        <f t="shared" ref="T38:T70" si="10">SUM(K38:S38)</f>
        <v>0</v>
      </c>
      <c r="U38" s="24">
        <f t="shared" si="2"/>
        <v>0</v>
      </c>
      <c r="V38" s="5"/>
      <c r="W38" s="3">
        <f>IF(AND($C38&gt;=10,$C38&lt;=入力!$R$38),W$1,0)</f>
        <v>0</v>
      </c>
      <c r="X38" s="3">
        <f>IFERROR(VLOOKUP($C38,学費計算!$C:$R,学費計算!H$1,0),0)</f>
        <v>0</v>
      </c>
      <c r="Y38" s="3">
        <f>IFERROR(VLOOKUP($C38,学費計算!$C:$R,学費計算!I$1,0),0)</f>
        <v>0</v>
      </c>
      <c r="Z38" s="3">
        <f>IFERROR(VLOOKUP($C38,学費計算!$C:$R,学費計算!J$1,0),0)</f>
        <v>0</v>
      </c>
      <c r="AA38" s="3">
        <f>IFERROR(VLOOKUP($C38,学費計算!$C:$R,学費計算!K$1,0),0)</f>
        <v>0</v>
      </c>
      <c r="AB38" s="14"/>
      <c r="AC38" s="18">
        <f t="shared" si="3"/>
        <v>0</v>
      </c>
      <c r="AD38" s="24">
        <f t="shared" si="4"/>
        <v>0</v>
      </c>
      <c r="AE38" s="5">
        <f>IF(AND($C38&gt;=0,$C38&lt;=入力!$R$36),AE$1,0)</f>
        <v>0</v>
      </c>
      <c r="AF38" s="3"/>
      <c r="AG38" s="3"/>
      <c r="AH38" s="3"/>
      <c r="AI38" s="3"/>
      <c r="AJ38" s="14"/>
      <c r="AK38" s="18">
        <f t="shared" si="7"/>
        <v>0</v>
      </c>
      <c r="AL38" s="24">
        <f t="shared" si="5"/>
        <v>0</v>
      </c>
      <c r="AM38" s="24">
        <f t="shared" ref="AM38:AM69" si="11">AL38+AM37</f>
        <v>0</v>
      </c>
    </row>
    <row r="39" spans="2:39" x14ac:dyDescent="0.25">
      <c r="B39" s="5">
        <f t="shared" si="8"/>
        <v>52</v>
      </c>
      <c r="C39" s="3">
        <f t="shared" si="9"/>
        <v>-67</v>
      </c>
      <c r="D39" s="34"/>
      <c r="E39" s="3">
        <f>IF(親1!D39&lt;=833.3+42*親1!AS39,IF(AND(C39&gt;=0,C39&lt;=3),1.5*12,IF(AND(C39&gt;3,C39&lt;=15),1*12,0)),IF(AND(C39&gt;=0,C39&lt;=15),0.5*12,0))</f>
        <v>0</v>
      </c>
      <c r="F39" s="3"/>
      <c r="G39" s="3"/>
      <c r="H39" s="3"/>
      <c r="I39" s="14"/>
      <c r="J39" s="24">
        <f t="shared" si="0"/>
        <v>0</v>
      </c>
      <c r="K39" s="5"/>
      <c r="L39" s="3"/>
      <c r="M39" s="3">
        <f>IF(AND($C39&gt;=0,$C39&lt;=入力!$R$38),M$1,0)</f>
        <v>0</v>
      </c>
      <c r="N39" s="3">
        <f>IF(AND($C39&gt;=0,$C39&lt;=入力!$R$38),N$1,0)</f>
        <v>0</v>
      </c>
      <c r="O39" s="3">
        <f>IF(AND($C39&gt;=0,$C39&lt;=入力!$R$38),O$1,0)</f>
        <v>0</v>
      </c>
      <c r="P39" s="3">
        <f>IF(AND($C39&gt;=0,$C39&lt;=入力!$R$38),P$1,0)</f>
        <v>0</v>
      </c>
      <c r="Q39" s="3">
        <f>IF(AND($C39&gt;=0,$C39&lt;=入力!$R$38),Q$1,0)</f>
        <v>0</v>
      </c>
      <c r="R39" s="3"/>
      <c r="S39" s="14"/>
      <c r="T39" s="18">
        <f t="shared" si="10"/>
        <v>0</v>
      </c>
      <c r="U39" s="24">
        <f t="shared" si="2"/>
        <v>0</v>
      </c>
      <c r="V39" s="5"/>
      <c r="W39" s="3">
        <f>IF(AND($C39&gt;=10,$C39&lt;=入力!$R$38),W$1,0)</f>
        <v>0</v>
      </c>
      <c r="X39" s="3">
        <f>IFERROR(VLOOKUP($C39,学費計算!$C:$R,学費計算!H$1,0),0)</f>
        <v>0</v>
      </c>
      <c r="Y39" s="3">
        <f>IFERROR(VLOOKUP($C39,学費計算!$C:$R,学費計算!I$1,0),0)</f>
        <v>0</v>
      </c>
      <c r="Z39" s="3">
        <f>IFERROR(VLOOKUP($C39,学費計算!$C:$R,学費計算!J$1,0),0)</f>
        <v>0</v>
      </c>
      <c r="AA39" s="3">
        <f>IFERROR(VLOOKUP($C39,学費計算!$C:$R,学費計算!K$1,0),0)</f>
        <v>0</v>
      </c>
      <c r="AB39" s="14"/>
      <c r="AC39" s="18">
        <f t="shared" si="3"/>
        <v>0</v>
      </c>
      <c r="AD39" s="24">
        <f t="shared" si="4"/>
        <v>0</v>
      </c>
      <c r="AE39" s="5">
        <f>IF(AND($C39&gt;=0,$C39&lt;=入力!$R$36),AE$1,0)</f>
        <v>0</v>
      </c>
      <c r="AF39" s="3"/>
      <c r="AG39" s="3"/>
      <c r="AH39" s="3"/>
      <c r="AI39" s="3"/>
      <c r="AJ39" s="14"/>
      <c r="AK39" s="18">
        <f t="shared" si="7"/>
        <v>0</v>
      </c>
      <c r="AL39" s="24">
        <f t="shared" si="5"/>
        <v>0</v>
      </c>
      <c r="AM39" s="24">
        <f t="shared" si="11"/>
        <v>0</v>
      </c>
    </row>
    <row r="40" spans="2:39" x14ac:dyDescent="0.25">
      <c r="B40" s="5">
        <f t="shared" ref="B40:B70" si="12">B39+1</f>
        <v>53</v>
      </c>
      <c r="C40" s="3">
        <f t="shared" si="9"/>
        <v>-66</v>
      </c>
      <c r="D40" s="34"/>
      <c r="E40" s="3">
        <f>IF(親1!D40&lt;=833.3+42*親1!AS40,IF(AND(C40&gt;=0,C40&lt;=3),1.5*12,IF(AND(C40&gt;3,C40&lt;=15),1*12,0)),IF(AND(C40&gt;=0,C40&lt;=15),0.5*12,0))</f>
        <v>0</v>
      </c>
      <c r="F40" s="3"/>
      <c r="G40" s="3"/>
      <c r="H40" s="3"/>
      <c r="I40" s="14"/>
      <c r="J40" s="24">
        <f t="shared" ref="J40:J70" si="13">SUM(E40:I40)</f>
        <v>0</v>
      </c>
      <c r="K40" s="5"/>
      <c r="L40" s="3"/>
      <c r="M40" s="3">
        <f>IF(AND($C40&gt;=0,$C40&lt;=入力!$R$38),M$1,0)</f>
        <v>0</v>
      </c>
      <c r="N40" s="3">
        <f>IF(AND($C40&gt;=0,$C40&lt;=入力!$R$38),N$1,0)</f>
        <v>0</v>
      </c>
      <c r="O40" s="3">
        <f>IF(AND($C40&gt;=0,$C40&lt;=入力!$R$38),O$1,0)</f>
        <v>0</v>
      </c>
      <c r="P40" s="3">
        <f>IF(AND($C40&gt;=0,$C40&lt;=入力!$R$38),P$1,0)</f>
        <v>0</v>
      </c>
      <c r="Q40" s="3">
        <f>IF(AND($C40&gt;=0,$C40&lt;=入力!$R$38),Q$1,0)</f>
        <v>0</v>
      </c>
      <c r="R40" s="3"/>
      <c r="S40" s="14"/>
      <c r="T40" s="18">
        <f t="shared" si="10"/>
        <v>0</v>
      </c>
      <c r="U40" s="24">
        <f t="shared" si="2"/>
        <v>0</v>
      </c>
      <c r="V40" s="5"/>
      <c r="W40" s="3">
        <f>IF(AND($C40&gt;=10,$C40&lt;=入力!$R$38),W$1,0)</f>
        <v>0</v>
      </c>
      <c r="X40" s="3">
        <f>IFERROR(VLOOKUP($C40,学費計算!$C:$R,学費計算!H$1,0),0)</f>
        <v>0</v>
      </c>
      <c r="Y40" s="3">
        <f>IFERROR(VLOOKUP($C40,学費計算!$C:$R,学費計算!I$1,0),0)</f>
        <v>0</v>
      </c>
      <c r="Z40" s="3">
        <f>IFERROR(VLOOKUP($C40,学費計算!$C:$R,学費計算!J$1,0),0)</f>
        <v>0</v>
      </c>
      <c r="AA40" s="3">
        <f>IFERROR(VLOOKUP($C40,学費計算!$C:$R,学費計算!K$1,0),0)</f>
        <v>0</v>
      </c>
      <c r="AB40" s="14"/>
      <c r="AC40" s="18">
        <f t="shared" si="3"/>
        <v>0</v>
      </c>
      <c r="AD40" s="24">
        <f t="shared" si="4"/>
        <v>0</v>
      </c>
      <c r="AE40" s="5">
        <f>IF(AND($C40&gt;=0,$C40&lt;=入力!$R$36),AE$1,0)</f>
        <v>0</v>
      </c>
      <c r="AF40" s="3"/>
      <c r="AG40" s="3"/>
      <c r="AH40" s="3"/>
      <c r="AI40" s="3"/>
      <c r="AJ40" s="14"/>
      <c r="AK40" s="18">
        <f t="shared" si="7"/>
        <v>0</v>
      </c>
      <c r="AL40" s="24">
        <f t="shared" si="5"/>
        <v>0</v>
      </c>
      <c r="AM40" s="24">
        <f t="shared" si="11"/>
        <v>0</v>
      </c>
    </row>
    <row r="41" spans="2:39" x14ac:dyDescent="0.25">
      <c r="B41" s="5">
        <f t="shared" si="12"/>
        <v>54</v>
      </c>
      <c r="C41" s="3">
        <f t="shared" si="9"/>
        <v>-65</v>
      </c>
      <c r="D41" s="34"/>
      <c r="E41" s="3">
        <f>IF(親1!D41&lt;=833.3+42*親1!AS41,IF(AND(C41&gt;=0,C41&lt;=3),1.5*12,IF(AND(C41&gt;3,C41&lt;=15),1*12,0)),IF(AND(C41&gt;=0,C41&lt;=15),0.5*12,0))</f>
        <v>0</v>
      </c>
      <c r="F41" s="3"/>
      <c r="G41" s="3"/>
      <c r="H41" s="3"/>
      <c r="I41" s="14"/>
      <c r="J41" s="24">
        <f t="shared" si="13"/>
        <v>0</v>
      </c>
      <c r="K41" s="5"/>
      <c r="L41" s="3"/>
      <c r="M41" s="3">
        <f>IF(AND($C41&gt;=0,$C41&lt;=入力!$R$38),M$1,0)</f>
        <v>0</v>
      </c>
      <c r="N41" s="3">
        <f>IF(AND($C41&gt;=0,$C41&lt;=入力!$R$38),N$1,0)</f>
        <v>0</v>
      </c>
      <c r="O41" s="3">
        <f>IF(AND($C41&gt;=0,$C41&lt;=入力!$R$38),O$1,0)</f>
        <v>0</v>
      </c>
      <c r="P41" s="3">
        <f>IF(AND($C41&gt;=0,$C41&lt;=入力!$R$38),P$1,0)</f>
        <v>0</v>
      </c>
      <c r="Q41" s="3">
        <f>IF(AND($C41&gt;=0,$C41&lt;=入力!$R$38),Q$1,0)</f>
        <v>0</v>
      </c>
      <c r="R41" s="3"/>
      <c r="S41" s="14"/>
      <c r="T41" s="18">
        <f t="shared" si="10"/>
        <v>0</v>
      </c>
      <c r="U41" s="24">
        <f t="shared" si="2"/>
        <v>0</v>
      </c>
      <c r="V41" s="5"/>
      <c r="W41" s="3">
        <f>IF(AND($C41&gt;=10,$C41&lt;=入力!$R$38),W$1,0)</f>
        <v>0</v>
      </c>
      <c r="X41" s="3">
        <f>IFERROR(VLOOKUP($C41,学費計算!$C:$R,学費計算!H$1,0),0)</f>
        <v>0</v>
      </c>
      <c r="Y41" s="3">
        <f>IFERROR(VLOOKUP($C41,学費計算!$C:$R,学費計算!I$1,0),0)</f>
        <v>0</v>
      </c>
      <c r="Z41" s="3">
        <f>IFERROR(VLOOKUP($C41,学費計算!$C:$R,学費計算!J$1,0),0)</f>
        <v>0</v>
      </c>
      <c r="AA41" s="3">
        <f>IFERROR(VLOOKUP($C41,学費計算!$C:$R,学費計算!K$1,0),0)</f>
        <v>0</v>
      </c>
      <c r="AB41" s="14"/>
      <c r="AC41" s="18">
        <f t="shared" si="3"/>
        <v>0</v>
      </c>
      <c r="AD41" s="24">
        <f t="shared" si="4"/>
        <v>0</v>
      </c>
      <c r="AE41" s="5">
        <f>IF(AND($C41&gt;=0,$C41&lt;=入力!$R$36),AE$1,0)</f>
        <v>0</v>
      </c>
      <c r="AF41" s="3"/>
      <c r="AG41" s="3"/>
      <c r="AH41" s="3"/>
      <c r="AI41" s="3"/>
      <c r="AJ41" s="14"/>
      <c r="AK41" s="18">
        <f t="shared" si="7"/>
        <v>0</v>
      </c>
      <c r="AL41" s="24">
        <f t="shared" si="5"/>
        <v>0</v>
      </c>
      <c r="AM41" s="24">
        <f t="shared" si="11"/>
        <v>0</v>
      </c>
    </row>
    <row r="42" spans="2:39" x14ac:dyDescent="0.25">
      <c r="B42" s="5">
        <f t="shared" si="12"/>
        <v>55</v>
      </c>
      <c r="C42" s="3">
        <f t="shared" si="9"/>
        <v>-64</v>
      </c>
      <c r="D42" s="34"/>
      <c r="E42" s="3">
        <f>IF(親1!D42&lt;=833.3+42*親1!AS42,IF(AND(C42&gt;=0,C42&lt;=3),1.5*12,IF(AND(C42&gt;3,C42&lt;=15),1*12,0)),IF(AND(C42&gt;=0,C42&lt;=15),0.5*12,0))</f>
        <v>0</v>
      </c>
      <c r="F42" s="3"/>
      <c r="G42" s="3"/>
      <c r="H42" s="3"/>
      <c r="I42" s="14"/>
      <c r="J42" s="24">
        <f t="shared" si="13"/>
        <v>0</v>
      </c>
      <c r="K42" s="5"/>
      <c r="L42" s="3"/>
      <c r="M42" s="3">
        <f>IF(AND($C42&gt;=0,$C42&lt;=入力!$R$38),M$1,0)</f>
        <v>0</v>
      </c>
      <c r="N42" s="3">
        <f>IF(AND($C42&gt;=0,$C42&lt;=入力!$R$38),N$1,0)</f>
        <v>0</v>
      </c>
      <c r="O42" s="3">
        <f>IF(AND($C42&gt;=0,$C42&lt;=入力!$R$38),O$1,0)</f>
        <v>0</v>
      </c>
      <c r="P42" s="3">
        <f>IF(AND($C42&gt;=0,$C42&lt;=入力!$R$38),P$1,0)</f>
        <v>0</v>
      </c>
      <c r="Q42" s="3">
        <f>IF(AND($C42&gt;=0,$C42&lt;=入力!$R$38),Q$1,0)</f>
        <v>0</v>
      </c>
      <c r="R42" s="3"/>
      <c r="S42" s="14"/>
      <c r="T42" s="18">
        <f t="shared" si="10"/>
        <v>0</v>
      </c>
      <c r="U42" s="24">
        <f t="shared" si="2"/>
        <v>0</v>
      </c>
      <c r="V42" s="5"/>
      <c r="W42" s="3">
        <f>IF(AND($C42&gt;=10,$C42&lt;=入力!$R$38),W$1,0)</f>
        <v>0</v>
      </c>
      <c r="X42" s="3">
        <f>IFERROR(VLOOKUP($C42,学費計算!$C:$R,学費計算!H$1,0),0)</f>
        <v>0</v>
      </c>
      <c r="Y42" s="3">
        <f>IFERROR(VLOOKUP($C42,学費計算!$C:$R,学費計算!I$1,0),0)</f>
        <v>0</v>
      </c>
      <c r="Z42" s="3">
        <f>IFERROR(VLOOKUP($C42,学費計算!$C:$R,学費計算!J$1,0),0)</f>
        <v>0</v>
      </c>
      <c r="AA42" s="3">
        <f>IFERROR(VLOOKUP($C42,学費計算!$C:$R,学費計算!K$1,0),0)</f>
        <v>0</v>
      </c>
      <c r="AB42" s="14"/>
      <c r="AC42" s="18">
        <f t="shared" si="3"/>
        <v>0</v>
      </c>
      <c r="AD42" s="24">
        <f t="shared" si="4"/>
        <v>0</v>
      </c>
      <c r="AE42" s="5">
        <f>IF(AND($C42&gt;=0,$C42&lt;=入力!$R$36),AE$1,0)</f>
        <v>0</v>
      </c>
      <c r="AF42" s="3"/>
      <c r="AG42" s="3"/>
      <c r="AH42" s="3"/>
      <c r="AI42" s="3"/>
      <c r="AJ42" s="14"/>
      <c r="AK42" s="18">
        <f t="shared" si="7"/>
        <v>0</v>
      </c>
      <c r="AL42" s="24">
        <f t="shared" si="5"/>
        <v>0</v>
      </c>
      <c r="AM42" s="24">
        <f t="shared" si="11"/>
        <v>0</v>
      </c>
    </row>
    <row r="43" spans="2:39" x14ac:dyDescent="0.25">
      <c r="B43" s="5">
        <f t="shared" si="12"/>
        <v>56</v>
      </c>
      <c r="C43" s="3">
        <f t="shared" si="9"/>
        <v>-63</v>
      </c>
      <c r="D43" s="34"/>
      <c r="E43" s="3">
        <f>IF(親1!D43&lt;=833.3+42*親1!AS43,IF(AND(C43&gt;=0,C43&lt;=3),1.5*12,IF(AND(C43&gt;3,C43&lt;=15),1*12,0)),IF(AND(C43&gt;=0,C43&lt;=15),0.5*12,0))</f>
        <v>0</v>
      </c>
      <c r="F43" s="3"/>
      <c r="G43" s="3"/>
      <c r="H43" s="3"/>
      <c r="I43" s="14"/>
      <c r="J43" s="24">
        <f t="shared" si="13"/>
        <v>0</v>
      </c>
      <c r="K43" s="5"/>
      <c r="L43" s="3"/>
      <c r="M43" s="3">
        <f>IF(AND($C43&gt;=0,$C43&lt;=入力!$R$38),M$1,0)</f>
        <v>0</v>
      </c>
      <c r="N43" s="3">
        <f>IF(AND($C43&gt;=0,$C43&lt;=入力!$R$38),N$1,0)</f>
        <v>0</v>
      </c>
      <c r="O43" s="3">
        <f>IF(AND($C43&gt;=0,$C43&lt;=入力!$R$38),O$1,0)</f>
        <v>0</v>
      </c>
      <c r="P43" s="3">
        <f>IF(AND($C43&gt;=0,$C43&lt;=入力!$R$38),P$1,0)</f>
        <v>0</v>
      </c>
      <c r="Q43" s="3">
        <f>IF(AND($C43&gt;=0,$C43&lt;=入力!$R$38),Q$1,0)</f>
        <v>0</v>
      </c>
      <c r="R43" s="3"/>
      <c r="S43" s="14"/>
      <c r="T43" s="18">
        <f t="shared" si="10"/>
        <v>0</v>
      </c>
      <c r="U43" s="24">
        <f t="shared" si="2"/>
        <v>0</v>
      </c>
      <c r="V43" s="5"/>
      <c r="W43" s="3">
        <f>IF(AND($C43&gt;=10,$C43&lt;=入力!$R$38),W$1,0)</f>
        <v>0</v>
      </c>
      <c r="X43" s="3">
        <f>IFERROR(VLOOKUP($C43,学費計算!$C:$R,学費計算!H$1,0),0)</f>
        <v>0</v>
      </c>
      <c r="Y43" s="3">
        <f>IFERROR(VLOOKUP($C43,学費計算!$C:$R,学費計算!I$1,0),0)</f>
        <v>0</v>
      </c>
      <c r="Z43" s="3">
        <f>IFERROR(VLOOKUP($C43,学費計算!$C:$R,学費計算!J$1,0),0)</f>
        <v>0</v>
      </c>
      <c r="AA43" s="3">
        <f>IFERROR(VLOOKUP($C43,学費計算!$C:$R,学費計算!K$1,0),0)</f>
        <v>0</v>
      </c>
      <c r="AB43" s="14"/>
      <c r="AC43" s="18">
        <f t="shared" si="3"/>
        <v>0</v>
      </c>
      <c r="AD43" s="24">
        <f t="shared" si="4"/>
        <v>0</v>
      </c>
      <c r="AE43" s="5">
        <f>IF(AND($C43&gt;=0,$C43&lt;=入力!$R$36),AE$1,0)</f>
        <v>0</v>
      </c>
      <c r="AF43" s="3"/>
      <c r="AG43" s="3"/>
      <c r="AH43" s="3"/>
      <c r="AI43" s="3"/>
      <c r="AJ43" s="14"/>
      <c r="AK43" s="18">
        <f t="shared" si="7"/>
        <v>0</v>
      </c>
      <c r="AL43" s="24">
        <f t="shared" si="5"/>
        <v>0</v>
      </c>
      <c r="AM43" s="24">
        <f t="shared" si="11"/>
        <v>0</v>
      </c>
    </row>
    <row r="44" spans="2:39" x14ac:dyDescent="0.25">
      <c r="B44" s="5">
        <f t="shared" si="12"/>
        <v>57</v>
      </c>
      <c r="C44" s="3">
        <f t="shared" si="9"/>
        <v>-62</v>
      </c>
      <c r="D44" s="34"/>
      <c r="E44" s="3">
        <f>IF(親1!D44&lt;=833.3+42*親1!AS44,IF(AND(C44&gt;=0,C44&lt;=3),1.5*12,IF(AND(C44&gt;3,C44&lt;=15),1*12,0)),IF(AND(C44&gt;=0,C44&lt;=15),0.5*12,0))</f>
        <v>0</v>
      </c>
      <c r="F44" s="3"/>
      <c r="G44" s="3"/>
      <c r="H44" s="3"/>
      <c r="I44" s="14"/>
      <c r="J44" s="24">
        <f t="shared" si="13"/>
        <v>0</v>
      </c>
      <c r="K44" s="5"/>
      <c r="L44" s="3"/>
      <c r="M44" s="3">
        <f>IF(AND($C44&gt;=0,$C44&lt;=入力!$R$38),M$1,0)</f>
        <v>0</v>
      </c>
      <c r="N44" s="3">
        <f>IF(AND($C44&gt;=0,$C44&lt;=入力!$R$38),N$1,0)</f>
        <v>0</v>
      </c>
      <c r="O44" s="3">
        <f>IF(AND($C44&gt;=0,$C44&lt;=入力!$R$38),O$1,0)</f>
        <v>0</v>
      </c>
      <c r="P44" s="3">
        <f>IF(AND($C44&gt;=0,$C44&lt;=入力!$R$38),P$1,0)</f>
        <v>0</v>
      </c>
      <c r="Q44" s="3">
        <f>IF(AND($C44&gt;=0,$C44&lt;=入力!$R$38),Q$1,0)</f>
        <v>0</v>
      </c>
      <c r="R44" s="3"/>
      <c r="S44" s="14"/>
      <c r="T44" s="18">
        <f t="shared" si="10"/>
        <v>0</v>
      </c>
      <c r="U44" s="24">
        <f t="shared" si="2"/>
        <v>0</v>
      </c>
      <c r="V44" s="5"/>
      <c r="W44" s="3">
        <f>IF(AND($C44&gt;=10,$C44&lt;=入力!$R$38),W$1,0)</f>
        <v>0</v>
      </c>
      <c r="X44" s="3">
        <f>IFERROR(VLOOKUP($C44,学費計算!$C:$R,学費計算!H$1,0),0)</f>
        <v>0</v>
      </c>
      <c r="Y44" s="3">
        <f>IFERROR(VLOOKUP($C44,学費計算!$C:$R,学費計算!I$1,0),0)</f>
        <v>0</v>
      </c>
      <c r="Z44" s="3">
        <f>IFERROR(VLOOKUP($C44,学費計算!$C:$R,学費計算!J$1,0),0)</f>
        <v>0</v>
      </c>
      <c r="AA44" s="3">
        <f>IFERROR(VLOOKUP($C44,学費計算!$C:$R,学費計算!K$1,0),0)</f>
        <v>0</v>
      </c>
      <c r="AB44" s="14"/>
      <c r="AC44" s="18">
        <f t="shared" si="3"/>
        <v>0</v>
      </c>
      <c r="AD44" s="24">
        <f t="shared" si="4"/>
        <v>0</v>
      </c>
      <c r="AE44" s="5">
        <f>IF(AND($C44&gt;=0,$C44&lt;=入力!$R$36),AE$1,0)</f>
        <v>0</v>
      </c>
      <c r="AF44" s="3"/>
      <c r="AG44" s="3"/>
      <c r="AH44" s="3"/>
      <c r="AI44" s="3"/>
      <c r="AJ44" s="14"/>
      <c r="AK44" s="18">
        <f t="shared" si="7"/>
        <v>0</v>
      </c>
      <c r="AL44" s="24">
        <f t="shared" si="5"/>
        <v>0</v>
      </c>
      <c r="AM44" s="24">
        <f t="shared" si="11"/>
        <v>0</v>
      </c>
    </row>
    <row r="45" spans="2:39" x14ac:dyDescent="0.25">
      <c r="B45" s="5">
        <f t="shared" si="12"/>
        <v>58</v>
      </c>
      <c r="C45" s="3">
        <f t="shared" si="9"/>
        <v>-61</v>
      </c>
      <c r="D45" s="34"/>
      <c r="E45" s="3">
        <f>IF(親1!D45&lt;=833.3+42*親1!AS45,IF(AND(C45&gt;=0,C45&lt;=3),1.5*12,IF(AND(C45&gt;3,C45&lt;=15),1*12,0)),IF(AND(C45&gt;=0,C45&lt;=15),0.5*12,0))</f>
        <v>0</v>
      </c>
      <c r="F45" s="3"/>
      <c r="G45" s="3"/>
      <c r="H45" s="3"/>
      <c r="I45" s="14"/>
      <c r="J45" s="24">
        <f t="shared" si="13"/>
        <v>0</v>
      </c>
      <c r="K45" s="5"/>
      <c r="L45" s="3"/>
      <c r="M45" s="3">
        <f>IF(AND($C45&gt;=0,$C45&lt;=入力!$R$38),M$1,0)</f>
        <v>0</v>
      </c>
      <c r="N45" s="3">
        <f>IF(AND($C45&gt;=0,$C45&lt;=入力!$R$38),N$1,0)</f>
        <v>0</v>
      </c>
      <c r="O45" s="3">
        <f>IF(AND($C45&gt;=0,$C45&lt;=入力!$R$38),O$1,0)</f>
        <v>0</v>
      </c>
      <c r="P45" s="3">
        <f>IF(AND($C45&gt;=0,$C45&lt;=入力!$R$38),P$1,0)</f>
        <v>0</v>
      </c>
      <c r="Q45" s="3">
        <f>IF(AND($C45&gt;=0,$C45&lt;=入力!$R$38),Q$1,0)</f>
        <v>0</v>
      </c>
      <c r="R45" s="3"/>
      <c r="S45" s="14"/>
      <c r="T45" s="18">
        <f t="shared" si="10"/>
        <v>0</v>
      </c>
      <c r="U45" s="24">
        <f t="shared" si="2"/>
        <v>0</v>
      </c>
      <c r="V45" s="5"/>
      <c r="W45" s="3">
        <f>IF(AND($C45&gt;=10,$C45&lt;=入力!$R$38),W$1,0)</f>
        <v>0</v>
      </c>
      <c r="X45" s="3">
        <f>IFERROR(VLOOKUP($C45,学費計算!$C:$R,学費計算!H$1,0),0)</f>
        <v>0</v>
      </c>
      <c r="Y45" s="3">
        <f>IFERROR(VLOOKUP($C45,学費計算!$C:$R,学費計算!I$1,0),0)</f>
        <v>0</v>
      </c>
      <c r="Z45" s="3">
        <f>IFERROR(VLOOKUP($C45,学費計算!$C:$R,学費計算!J$1,0),0)</f>
        <v>0</v>
      </c>
      <c r="AA45" s="3">
        <f>IFERROR(VLOOKUP($C45,学費計算!$C:$R,学費計算!K$1,0),0)</f>
        <v>0</v>
      </c>
      <c r="AB45" s="14"/>
      <c r="AC45" s="18">
        <f t="shared" si="3"/>
        <v>0</v>
      </c>
      <c r="AD45" s="24">
        <f t="shared" si="4"/>
        <v>0</v>
      </c>
      <c r="AE45" s="5">
        <f>IF(AND($C45&gt;=0,$C45&lt;=入力!$R$36),AE$1,0)</f>
        <v>0</v>
      </c>
      <c r="AF45" s="3"/>
      <c r="AG45" s="3"/>
      <c r="AH45" s="3"/>
      <c r="AI45" s="3"/>
      <c r="AJ45" s="14"/>
      <c r="AK45" s="18">
        <f t="shared" si="7"/>
        <v>0</v>
      </c>
      <c r="AL45" s="24">
        <f t="shared" si="5"/>
        <v>0</v>
      </c>
      <c r="AM45" s="24">
        <f t="shared" si="11"/>
        <v>0</v>
      </c>
    </row>
    <row r="46" spans="2:39" x14ac:dyDescent="0.25">
      <c r="B46" s="5">
        <f t="shared" si="12"/>
        <v>59</v>
      </c>
      <c r="C46" s="3">
        <f t="shared" si="9"/>
        <v>-60</v>
      </c>
      <c r="D46" s="34"/>
      <c r="E46" s="3">
        <f>IF(親1!D46&lt;=833.3+42*親1!AS46,IF(AND(C46&gt;=0,C46&lt;=3),1.5*12,IF(AND(C46&gt;3,C46&lt;=15),1*12,0)),IF(AND(C46&gt;=0,C46&lt;=15),0.5*12,0))</f>
        <v>0</v>
      </c>
      <c r="F46" s="3"/>
      <c r="G46" s="3"/>
      <c r="H46" s="3"/>
      <c r="I46" s="14"/>
      <c r="J46" s="24">
        <f t="shared" si="13"/>
        <v>0</v>
      </c>
      <c r="K46" s="5"/>
      <c r="L46" s="3"/>
      <c r="M46" s="3">
        <f>IF(AND($C46&gt;=0,$C46&lt;=入力!$R$38),M$1,0)</f>
        <v>0</v>
      </c>
      <c r="N46" s="3">
        <f>IF(AND($C46&gt;=0,$C46&lt;=入力!$R$38),N$1,0)</f>
        <v>0</v>
      </c>
      <c r="O46" s="3">
        <f>IF(AND($C46&gt;=0,$C46&lt;=入力!$R$38),O$1,0)</f>
        <v>0</v>
      </c>
      <c r="P46" s="3">
        <f>IF(AND($C46&gt;=0,$C46&lt;=入力!$R$38),P$1,0)</f>
        <v>0</v>
      </c>
      <c r="Q46" s="3">
        <f>IF(AND($C46&gt;=0,$C46&lt;=入力!$R$38),Q$1,0)</f>
        <v>0</v>
      </c>
      <c r="R46" s="3"/>
      <c r="S46" s="14"/>
      <c r="T46" s="18">
        <f t="shared" si="10"/>
        <v>0</v>
      </c>
      <c r="U46" s="24">
        <f t="shared" si="2"/>
        <v>0</v>
      </c>
      <c r="V46" s="5"/>
      <c r="W46" s="3">
        <f>IF(AND($C46&gt;=10,$C46&lt;=入力!$R$38),W$1,0)</f>
        <v>0</v>
      </c>
      <c r="X46" s="3">
        <f>IFERROR(VLOOKUP($C46,学費計算!$C:$R,学費計算!H$1,0),0)</f>
        <v>0</v>
      </c>
      <c r="Y46" s="3">
        <f>IFERROR(VLOOKUP($C46,学費計算!$C:$R,学費計算!I$1,0),0)</f>
        <v>0</v>
      </c>
      <c r="Z46" s="3">
        <f>IFERROR(VLOOKUP($C46,学費計算!$C:$R,学費計算!J$1,0),0)</f>
        <v>0</v>
      </c>
      <c r="AA46" s="3">
        <f>IFERROR(VLOOKUP($C46,学費計算!$C:$R,学費計算!K$1,0),0)</f>
        <v>0</v>
      </c>
      <c r="AB46" s="14"/>
      <c r="AC46" s="18">
        <f t="shared" si="3"/>
        <v>0</v>
      </c>
      <c r="AD46" s="24">
        <f t="shared" si="4"/>
        <v>0</v>
      </c>
      <c r="AE46" s="5">
        <f>IF(AND($C46&gt;=0,$C46&lt;=入力!$R$36),AE$1,0)</f>
        <v>0</v>
      </c>
      <c r="AF46" s="3"/>
      <c r="AG46" s="3"/>
      <c r="AH46" s="3"/>
      <c r="AI46" s="3"/>
      <c r="AJ46" s="14"/>
      <c r="AK46" s="18">
        <f t="shared" si="7"/>
        <v>0</v>
      </c>
      <c r="AL46" s="24">
        <f t="shared" si="5"/>
        <v>0</v>
      </c>
      <c r="AM46" s="24">
        <f t="shared" si="11"/>
        <v>0</v>
      </c>
    </row>
    <row r="47" spans="2:39" x14ac:dyDescent="0.25">
      <c r="B47" s="5">
        <f t="shared" si="12"/>
        <v>60</v>
      </c>
      <c r="C47" s="3">
        <f t="shared" si="9"/>
        <v>-59</v>
      </c>
      <c r="D47" s="34"/>
      <c r="E47" s="3">
        <f>IF(親1!D47&lt;=833.3+42*親1!AS47,IF(AND(C47&gt;=0,C47&lt;=3),1.5*12,IF(AND(C47&gt;3,C47&lt;=15),1*12,0)),IF(AND(C47&gt;=0,C47&lt;=15),0.5*12,0))</f>
        <v>0</v>
      </c>
      <c r="F47" s="3"/>
      <c r="G47" s="3"/>
      <c r="H47" s="3"/>
      <c r="I47" s="14"/>
      <c r="J47" s="24">
        <f t="shared" si="13"/>
        <v>0</v>
      </c>
      <c r="K47" s="5"/>
      <c r="L47" s="3"/>
      <c r="M47" s="3">
        <f>IF(AND($C47&gt;=0,$C47&lt;=入力!$R$38),M$1,0)</f>
        <v>0</v>
      </c>
      <c r="N47" s="3">
        <f>IF(AND($C47&gt;=0,$C47&lt;=入力!$R$38),N$1,0)</f>
        <v>0</v>
      </c>
      <c r="O47" s="3">
        <f>IF(AND($C47&gt;=0,$C47&lt;=入力!$R$38),O$1,0)</f>
        <v>0</v>
      </c>
      <c r="P47" s="3">
        <f>IF(AND($C47&gt;=0,$C47&lt;=入力!$R$38),P$1,0)</f>
        <v>0</v>
      </c>
      <c r="Q47" s="3">
        <f>IF(AND($C47&gt;=0,$C47&lt;=入力!$R$38),Q$1,0)</f>
        <v>0</v>
      </c>
      <c r="R47" s="3"/>
      <c r="S47" s="14"/>
      <c r="T47" s="18">
        <f t="shared" si="10"/>
        <v>0</v>
      </c>
      <c r="U47" s="24">
        <f t="shared" si="2"/>
        <v>0</v>
      </c>
      <c r="V47" s="5"/>
      <c r="W47" s="3">
        <f>IF(AND($C47&gt;=10,$C47&lt;=入力!$R$38),W$1,0)</f>
        <v>0</v>
      </c>
      <c r="X47" s="3">
        <f>IFERROR(VLOOKUP($C47,学費計算!$C:$R,学費計算!H$1,0),0)</f>
        <v>0</v>
      </c>
      <c r="Y47" s="3">
        <f>IFERROR(VLOOKUP($C47,学費計算!$C:$R,学費計算!I$1,0),0)</f>
        <v>0</v>
      </c>
      <c r="Z47" s="3">
        <f>IFERROR(VLOOKUP($C47,学費計算!$C:$R,学費計算!J$1,0),0)</f>
        <v>0</v>
      </c>
      <c r="AA47" s="3">
        <f>IFERROR(VLOOKUP($C47,学費計算!$C:$R,学費計算!K$1,0),0)</f>
        <v>0</v>
      </c>
      <c r="AB47" s="14"/>
      <c r="AC47" s="18">
        <f t="shared" si="3"/>
        <v>0</v>
      </c>
      <c r="AD47" s="24">
        <f t="shared" si="4"/>
        <v>0</v>
      </c>
      <c r="AE47" s="5">
        <f>IF(AND($C47&gt;=0,$C47&lt;=入力!$R$36),AE$1,0)</f>
        <v>0</v>
      </c>
      <c r="AF47" s="3"/>
      <c r="AG47" s="3"/>
      <c r="AH47" s="3"/>
      <c r="AI47" s="3"/>
      <c r="AJ47" s="14"/>
      <c r="AK47" s="18">
        <f t="shared" si="7"/>
        <v>0</v>
      </c>
      <c r="AL47" s="24">
        <f t="shared" si="5"/>
        <v>0</v>
      </c>
      <c r="AM47" s="24">
        <f t="shared" si="11"/>
        <v>0</v>
      </c>
    </row>
    <row r="48" spans="2:39" x14ac:dyDescent="0.25">
      <c r="B48" s="5">
        <f t="shared" si="12"/>
        <v>61</v>
      </c>
      <c r="C48" s="3">
        <f t="shared" si="9"/>
        <v>-58</v>
      </c>
      <c r="D48" s="34"/>
      <c r="E48" s="3">
        <f>IF(親1!D48&lt;=833.3+42*親1!AS48,IF(AND(C48&gt;=0,C48&lt;=3),1.5*12,IF(AND(C48&gt;3,C48&lt;=15),1*12,0)),IF(AND(C48&gt;=0,C48&lt;=15),0.5*12,0))</f>
        <v>0</v>
      </c>
      <c r="F48" s="3"/>
      <c r="G48" s="3"/>
      <c r="H48" s="3"/>
      <c r="I48" s="14"/>
      <c r="J48" s="24">
        <f t="shared" si="13"/>
        <v>0</v>
      </c>
      <c r="K48" s="5"/>
      <c r="L48" s="3"/>
      <c r="M48" s="3">
        <f>IF(AND($C48&gt;=0,$C48&lt;=入力!$R$38),M$1,0)</f>
        <v>0</v>
      </c>
      <c r="N48" s="3">
        <f>IF(AND($C48&gt;=0,$C48&lt;=入力!$R$38),N$1,0)</f>
        <v>0</v>
      </c>
      <c r="O48" s="3">
        <f>IF(AND($C48&gt;=0,$C48&lt;=入力!$R$38),O$1,0)</f>
        <v>0</v>
      </c>
      <c r="P48" s="3">
        <f>IF(AND($C48&gt;=0,$C48&lt;=入力!$R$38),P$1,0)</f>
        <v>0</v>
      </c>
      <c r="Q48" s="3">
        <f>IF(AND($C48&gt;=0,$C48&lt;=入力!$R$38),Q$1,0)</f>
        <v>0</v>
      </c>
      <c r="R48" s="3"/>
      <c r="S48" s="14"/>
      <c r="T48" s="18">
        <f t="shared" si="10"/>
        <v>0</v>
      </c>
      <c r="U48" s="24">
        <f t="shared" si="2"/>
        <v>0</v>
      </c>
      <c r="V48" s="5"/>
      <c r="W48" s="3">
        <f>IF(AND($C48&gt;=10,$C48&lt;=入力!$R$38),W$1,0)</f>
        <v>0</v>
      </c>
      <c r="X48" s="3">
        <f>IFERROR(VLOOKUP($C48,学費計算!$C:$R,学費計算!H$1,0),0)</f>
        <v>0</v>
      </c>
      <c r="Y48" s="3">
        <f>IFERROR(VLOOKUP($C48,学費計算!$C:$R,学費計算!I$1,0),0)</f>
        <v>0</v>
      </c>
      <c r="Z48" s="3">
        <f>IFERROR(VLOOKUP($C48,学費計算!$C:$R,学費計算!J$1,0),0)</f>
        <v>0</v>
      </c>
      <c r="AA48" s="3">
        <f>IFERROR(VLOOKUP($C48,学費計算!$C:$R,学費計算!K$1,0),0)</f>
        <v>0</v>
      </c>
      <c r="AB48" s="14"/>
      <c r="AC48" s="18">
        <f t="shared" si="3"/>
        <v>0</v>
      </c>
      <c r="AD48" s="24">
        <f t="shared" si="4"/>
        <v>0</v>
      </c>
      <c r="AE48" s="5">
        <f>IF(AND($C48&gt;=0,$C48&lt;=入力!$R$36),AE$1,0)</f>
        <v>0</v>
      </c>
      <c r="AF48" s="3"/>
      <c r="AG48" s="3"/>
      <c r="AH48" s="3"/>
      <c r="AI48" s="3"/>
      <c r="AJ48" s="14"/>
      <c r="AK48" s="18">
        <f t="shared" si="7"/>
        <v>0</v>
      </c>
      <c r="AL48" s="24">
        <f t="shared" si="5"/>
        <v>0</v>
      </c>
      <c r="AM48" s="24">
        <f t="shared" si="11"/>
        <v>0</v>
      </c>
    </row>
    <row r="49" spans="2:39" x14ac:dyDescent="0.25">
      <c r="B49" s="5">
        <f t="shared" si="12"/>
        <v>62</v>
      </c>
      <c r="C49" s="3">
        <f t="shared" si="9"/>
        <v>-57</v>
      </c>
      <c r="D49" s="34"/>
      <c r="E49" s="3">
        <f>IF(親1!D49&lt;=833.3+42*親1!AS49,IF(AND(C49&gt;=0,C49&lt;=3),1.5*12,IF(AND(C49&gt;3,C49&lt;=15),1*12,0)),IF(AND(C49&gt;=0,C49&lt;=15),0.5*12,0))</f>
        <v>0</v>
      </c>
      <c r="F49" s="3"/>
      <c r="G49" s="3"/>
      <c r="H49" s="3"/>
      <c r="I49" s="14"/>
      <c r="J49" s="24">
        <f t="shared" si="13"/>
        <v>0</v>
      </c>
      <c r="K49" s="5"/>
      <c r="L49" s="3"/>
      <c r="M49" s="3">
        <f>IF(AND($C49&gt;=0,$C49&lt;=入力!$R$38),M$1,0)</f>
        <v>0</v>
      </c>
      <c r="N49" s="3">
        <f>IF(AND($C49&gt;=0,$C49&lt;=入力!$R$38),N$1,0)</f>
        <v>0</v>
      </c>
      <c r="O49" s="3">
        <f>IF(AND($C49&gt;=0,$C49&lt;=入力!$R$38),O$1,0)</f>
        <v>0</v>
      </c>
      <c r="P49" s="3">
        <f>IF(AND($C49&gt;=0,$C49&lt;=入力!$R$38),P$1,0)</f>
        <v>0</v>
      </c>
      <c r="Q49" s="3">
        <f>IF(AND($C49&gt;=0,$C49&lt;=入力!$R$38),Q$1,0)</f>
        <v>0</v>
      </c>
      <c r="R49" s="3"/>
      <c r="S49" s="14"/>
      <c r="T49" s="18">
        <f t="shared" si="10"/>
        <v>0</v>
      </c>
      <c r="U49" s="24">
        <f t="shared" si="2"/>
        <v>0</v>
      </c>
      <c r="V49" s="5"/>
      <c r="W49" s="3">
        <f>IF(AND($C49&gt;=10,$C49&lt;=入力!$R$38),W$1,0)</f>
        <v>0</v>
      </c>
      <c r="X49" s="3">
        <f>IFERROR(VLOOKUP($C49,学費計算!$C:$R,学費計算!H$1,0),0)</f>
        <v>0</v>
      </c>
      <c r="Y49" s="3">
        <f>IFERROR(VLOOKUP($C49,学費計算!$C:$R,学費計算!I$1,0),0)</f>
        <v>0</v>
      </c>
      <c r="Z49" s="3">
        <f>IFERROR(VLOOKUP($C49,学費計算!$C:$R,学費計算!J$1,0),0)</f>
        <v>0</v>
      </c>
      <c r="AA49" s="3">
        <f>IFERROR(VLOOKUP($C49,学費計算!$C:$R,学費計算!K$1,0),0)</f>
        <v>0</v>
      </c>
      <c r="AB49" s="14"/>
      <c r="AC49" s="18">
        <f t="shared" si="3"/>
        <v>0</v>
      </c>
      <c r="AD49" s="24">
        <f t="shared" si="4"/>
        <v>0</v>
      </c>
      <c r="AE49" s="5">
        <f>IF(AND($C49&gt;=0,$C49&lt;=入力!$R$36),AE$1,0)</f>
        <v>0</v>
      </c>
      <c r="AF49" s="3"/>
      <c r="AG49" s="3"/>
      <c r="AH49" s="3"/>
      <c r="AI49" s="3"/>
      <c r="AJ49" s="14"/>
      <c r="AK49" s="18">
        <f t="shared" si="7"/>
        <v>0</v>
      </c>
      <c r="AL49" s="24">
        <f t="shared" si="5"/>
        <v>0</v>
      </c>
      <c r="AM49" s="24">
        <f t="shared" si="11"/>
        <v>0</v>
      </c>
    </row>
    <row r="50" spans="2:39" x14ac:dyDescent="0.25">
      <c r="B50" s="5">
        <f t="shared" si="12"/>
        <v>63</v>
      </c>
      <c r="C50" s="3">
        <f t="shared" si="9"/>
        <v>-56</v>
      </c>
      <c r="D50" s="34"/>
      <c r="E50" s="3">
        <f>IF(親1!D50&lt;=833.3+42*親1!AS50,IF(AND(C50&gt;=0,C50&lt;=3),1.5*12,IF(AND(C50&gt;3,C50&lt;=15),1*12,0)),IF(AND(C50&gt;=0,C50&lt;=15),0.5*12,0))</f>
        <v>0</v>
      </c>
      <c r="F50" s="3"/>
      <c r="G50" s="3"/>
      <c r="H50" s="3"/>
      <c r="I50" s="14"/>
      <c r="J50" s="24">
        <f t="shared" si="13"/>
        <v>0</v>
      </c>
      <c r="K50" s="5"/>
      <c r="L50" s="3"/>
      <c r="M50" s="3">
        <f>IF(AND($C50&gt;=0,$C50&lt;=入力!$R$38),M$1,0)</f>
        <v>0</v>
      </c>
      <c r="N50" s="3">
        <f>IF(AND($C50&gt;=0,$C50&lt;=入力!$R$38),N$1,0)</f>
        <v>0</v>
      </c>
      <c r="O50" s="3">
        <f>IF(AND($C50&gt;=0,$C50&lt;=入力!$R$38),O$1,0)</f>
        <v>0</v>
      </c>
      <c r="P50" s="3">
        <f>IF(AND($C50&gt;=0,$C50&lt;=入力!$R$38),P$1,0)</f>
        <v>0</v>
      </c>
      <c r="Q50" s="3">
        <f>IF(AND($C50&gt;=0,$C50&lt;=入力!$R$38),Q$1,0)</f>
        <v>0</v>
      </c>
      <c r="R50" s="3"/>
      <c r="S50" s="14"/>
      <c r="T50" s="18">
        <f t="shared" si="10"/>
        <v>0</v>
      </c>
      <c r="U50" s="24">
        <f t="shared" si="2"/>
        <v>0</v>
      </c>
      <c r="V50" s="5"/>
      <c r="W50" s="3">
        <f>IF(AND($C50&gt;=10,$C50&lt;=入力!$R$38),W$1,0)</f>
        <v>0</v>
      </c>
      <c r="X50" s="3">
        <f>IFERROR(VLOOKUP($C50,学費計算!$C:$R,学費計算!H$1,0),0)</f>
        <v>0</v>
      </c>
      <c r="Y50" s="3">
        <f>IFERROR(VLOOKUP($C50,学費計算!$C:$R,学費計算!I$1,0),0)</f>
        <v>0</v>
      </c>
      <c r="Z50" s="3">
        <f>IFERROR(VLOOKUP($C50,学費計算!$C:$R,学費計算!J$1,0),0)</f>
        <v>0</v>
      </c>
      <c r="AA50" s="3">
        <f>IFERROR(VLOOKUP($C50,学費計算!$C:$R,学費計算!K$1,0),0)</f>
        <v>0</v>
      </c>
      <c r="AB50" s="14"/>
      <c r="AC50" s="18">
        <f t="shared" si="3"/>
        <v>0</v>
      </c>
      <c r="AD50" s="24">
        <f t="shared" si="4"/>
        <v>0</v>
      </c>
      <c r="AE50" s="5">
        <f>IF(AND($C50&gt;=0,$C50&lt;=入力!$R$36),AE$1,0)</f>
        <v>0</v>
      </c>
      <c r="AF50" s="3"/>
      <c r="AG50" s="3"/>
      <c r="AH50" s="3"/>
      <c r="AI50" s="3"/>
      <c r="AJ50" s="14"/>
      <c r="AK50" s="18">
        <f t="shared" si="7"/>
        <v>0</v>
      </c>
      <c r="AL50" s="24">
        <f t="shared" si="5"/>
        <v>0</v>
      </c>
      <c r="AM50" s="24">
        <f t="shared" si="11"/>
        <v>0</v>
      </c>
    </row>
    <row r="51" spans="2:39" x14ac:dyDescent="0.25">
      <c r="B51" s="5">
        <f t="shared" si="12"/>
        <v>64</v>
      </c>
      <c r="C51" s="3">
        <f t="shared" si="9"/>
        <v>-55</v>
      </c>
      <c r="D51" s="34"/>
      <c r="E51" s="3">
        <f>IF(親1!D51&lt;=833.3+42*親1!AS51,IF(AND(C51&gt;=0,C51&lt;=3),1.5*12,IF(AND(C51&gt;3,C51&lt;=15),1*12,0)),IF(AND(C51&gt;=0,C51&lt;=15),0.5*12,0))</f>
        <v>0</v>
      </c>
      <c r="F51" s="3"/>
      <c r="G51" s="3"/>
      <c r="H51" s="3"/>
      <c r="I51" s="14"/>
      <c r="J51" s="24">
        <f t="shared" si="13"/>
        <v>0</v>
      </c>
      <c r="K51" s="5"/>
      <c r="L51" s="3"/>
      <c r="M51" s="3">
        <f>IF(AND($C51&gt;=0,$C51&lt;=入力!$R$38),M$1,0)</f>
        <v>0</v>
      </c>
      <c r="N51" s="3">
        <f>IF(AND($C51&gt;=0,$C51&lt;=入力!$R$38),N$1,0)</f>
        <v>0</v>
      </c>
      <c r="O51" s="3">
        <f>IF(AND($C51&gt;=0,$C51&lt;=入力!$R$38),O$1,0)</f>
        <v>0</v>
      </c>
      <c r="P51" s="3">
        <f>IF(AND($C51&gt;=0,$C51&lt;=入力!$R$38),P$1,0)</f>
        <v>0</v>
      </c>
      <c r="Q51" s="3">
        <f>IF(AND($C51&gt;=0,$C51&lt;=入力!$R$38),Q$1,0)</f>
        <v>0</v>
      </c>
      <c r="R51" s="3"/>
      <c r="S51" s="14"/>
      <c r="T51" s="18">
        <f t="shared" si="10"/>
        <v>0</v>
      </c>
      <c r="U51" s="24">
        <f t="shared" si="2"/>
        <v>0</v>
      </c>
      <c r="V51" s="5"/>
      <c r="W51" s="3">
        <f>IF(AND($C51&gt;=10,$C51&lt;=入力!$R$38),W$1,0)</f>
        <v>0</v>
      </c>
      <c r="X51" s="3">
        <f>IFERROR(VLOOKUP($C51,学費計算!$C:$R,学費計算!H$1,0),0)</f>
        <v>0</v>
      </c>
      <c r="Y51" s="3">
        <f>IFERROR(VLOOKUP($C51,学費計算!$C:$R,学費計算!I$1,0),0)</f>
        <v>0</v>
      </c>
      <c r="Z51" s="3">
        <f>IFERROR(VLOOKUP($C51,学費計算!$C:$R,学費計算!J$1,0),0)</f>
        <v>0</v>
      </c>
      <c r="AA51" s="3">
        <f>IFERROR(VLOOKUP($C51,学費計算!$C:$R,学費計算!K$1,0),0)</f>
        <v>0</v>
      </c>
      <c r="AB51" s="14"/>
      <c r="AC51" s="18">
        <f t="shared" si="3"/>
        <v>0</v>
      </c>
      <c r="AD51" s="24">
        <f t="shared" si="4"/>
        <v>0</v>
      </c>
      <c r="AE51" s="5">
        <f>IF(AND($C51&gt;=0,$C51&lt;=入力!$R$36),AE$1,0)</f>
        <v>0</v>
      </c>
      <c r="AF51" s="3"/>
      <c r="AG51" s="3"/>
      <c r="AH51" s="3"/>
      <c r="AI51" s="3"/>
      <c r="AJ51" s="14"/>
      <c r="AK51" s="18">
        <f t="shared" si="7"/>
        <v>0</v>
      </c>
      <c r="AL51" s="24">
        <f t="shared" si="5"/>
        <v>0</v>
      </c>
      <c r="AM51" s="24">
        <f t="shared" si="11"/>
        <v>0</v>
      </c>
    </row>
    <row r="52" spans="2:39" x14ac:dyDescent="0.25">
      <c r="B52" s="5">
        <f t="shared" si="12"/>
        <v>65</v>
      </c>
      <c r="C52" s="3">
        <f t="shared" si="9"/>
        <v>-54</v>
      </c>
      <c r="D52" s="34"/>
      <c r="E52" s="3">
        <f>IF(親1!D52&lt;=833.3+42*親1!AS52,IF(AND(C52&gt;=0,C52&lt;=3),1.5*12,IF(AND(C52&gt;3,C52&lt;=15),1*12,0)),IF(AND(C52&gt;=0,C52&lt;=15),0.5*12,0))</f>
        <v>0</v>
      </c>
      <c r="F52" s="3"/>
      <c r="G52" s="3"/>
      <c r="H52" s="3"/>
      <c r="I52" s="14"/>
      <c r="J52" s="24">
        <f t="shared" si="13"/>
        <v>0</v>
      </c>
      <c r="K52" s="5"/>
      <c r="L52" s="3"/>
      <c r="M52" s="3">
        <f>IF(AND($C52&gt;=0,$C52&lt;=入力!$R$38),M$1,0)</f>
        <v>0</v>
      </c>
      <c r="N52" s="3">
        <f>IF(AND($C52&gt;=0,$C52&lt;=入力!$R$38),N$1,0)</f>
        <v>0</v>
      </c>
      <c r="O52" s="3">
        <f>IF(AND($C52&gt;=0,$C52&lt;=入力!$R$38),O$1,0)</f>
        <v>0</v>
      </c>
      <c r="P52" s="3">
        <f>IF(AND($C52&gt;=0,$C52&lt;=入力!$R$38),P$1,0)</f>
        <v>0</v>
      </c>
      <c r="Q52" s="3">
        <f>IF(AND($C52&gt;=0,$C52&lt;=入力!$R$38),Q$1,0)</f>
        <v>0</v>
      </c>
      <c r="R52" s="3"/>
      <c r="S52" s="14"/>
      <c r="T52" s="18">
        <f t="shared" si="10"/>
        <v>0</v>
      </c>
      <c r="U52" s="24">
        <f t="shared" si="2"/>
        <v>0</v>
      </c>
      <c r="V52" s="5"/>
      <c r="W52" s="3">
        <f>IF(AND($C52&gt;=10,$C52&lt;=入力!$R$38),W$1,0)</f>
        <v>0</v>
      </c>
      <c r="X52" s="3">
        <f>IFERROR(VLOOKUP($C52,学費計算!$C:$R,学費計算!H$1,0),0)</f>
        <v>0</v>
      </c>
      <c r="Y52" s="3">
        <f>IFERROR(VLOOKUP($C52,学費計算!$C:$R,学費計算!I$1,0),0)</f>
        <v>0</v>
      </c>
      <c r="Z52" s="3">
        <f>IFERROR(VLOOKUP($C52,学費計算!$C:$R,学費計算!J$1,0),0)</f>
        <v>0</v>
      </c>
      <c r="AA52" s="3">
        <f>IFERROR(VLOOKUP($C52,学費計算!$C:$R,学費計算!K$1,0),0)</f>
        <v>0</v>
      </c>
      <c r="AB52" s="14"/>
      <c r="AC52" s="18">
        <f t="shared" si="3"/>
        <v>0</v>
      </c>
      <c r="AD52" s="24">
        <f t="shared" si="4"/>
        <v>0</v>
      </c>
      <c r="AE52" s="5">
        <f>IF(AND($C52&gt;=0,$C52&lt;=入力!$R$36),AE$1,0)</f>
        <v>0</v>
      </c>
      <c r="AF52" s="3"/>
      <c r="AG52" s="3"/>
      <c r="AH52" s="3"/>
      <c r="AI52" s="3"/>
      <c r="AJ52" s="14"/>
      <c r="AK52" s="18">
        <f t="shared" si="7"/>
        <v>0</v>
      </c>
      <c r="AL52" s="24">
        <f t="shared" si="5"/>
        <v>0</v>
      </c>
      <c r="AM52" s="24">
        <f t="shared" si="11"/>
        <v>0</v>
      </c>
    </row>
    <row r="53" spans="2:39" x14ac:dyDescent="0.25">
      <c r="B53" s="5">
        <f t="shared" si="12"/>
        <v>66</v>
      </c>
      <c r="C53" s="3">
        <f t="shared" si="9"/>
        <v>-53</v>
      </c>
      <c r="D53" s="34"/>
      <c r="E53" s="3">
        <f>IF(親1!D53&lt;=833.3+42*親1!AS53,IF(AND(C53&gt;=0,C53&lt;=3),1.5*12,IF(AND(C53&gt;3,C53&lt;=15),1*12,0)),IF(AND(C53&gt;=0,C53&lt;=15),0.5*12,0))</f>
        <v>0</v>
      </c>
      <c r="F53" s="3"/>
      <c r="G53" s="3"/>
      <c r="H53" s="3"/>
      <c r="I53" s="14"/>
      <c r="J53" s="24">
        <f t="shared" si="13"/>
        <v>0</v>
      </c>
      <c r="K53" s="5"/>
      <c r="L53" s="3"/>
      <c r="M53" s="3">
        <f>IF(AND($C53&gt;=0,$C53&lt;=入力!$R$38),M$1,0)</f>
        <v>0</v>
      </c>
      <c r="N53" s="3">
        <f>IF(AND($C53&gt;=0,$C53&lt;=入力!$R$38),N$1,0)</f>
        <v>0</v>
      </c>
      <c r="O53" s="3">
        <f>IF(AND($C53&gt;=0,$C53&lt;=入力!$R$38),O$1,0)</f>
        <v>0</v>
      </c>
      <c r="P53" s="3">
        <f>IF(AND($C53&gt;=0,$C53&lt;=入力!$R$38),P$1,0)</f>
        <v>0</v>
      </c>
      <c r="Q53" s="3">
        <f>IF(AND($C53&gt;=0,$C53&lt;=入力!$R$38),Q$1,0)</f>
        <v>0</v>
      </c>
      <c r="R53" s="3"/>
      <c r="S53" s="14"/>
      <c r="T53" s="18">
        <f t="shared" si="10"/>
        <v>0</v>
      </c>
      <c r="U53" s="24">
        <f t="shared" si="2"/>
        <v>0</v>
      </c>
      <c r="V53" s="5"/>
      <c r="W53" s="3">
        <f>IF(AND($C53&gt;=10,$C53&lt;=入力!$R$38),W$1,0)</f>
        <v>0</v>
      </c>
      <c r="X53" s="3">
        <f>IFERROR(VLOOKUP($C53,学費計算!$C:$R,学費計算!H$1,0),0)</f>
        <v>0</v>
      </c>
      <c r="Y53" s="3">
        <f>IFERROR(VLOOKUP($C53,学費計算!$C:$R,学費計算!I$1,0),0)</f>
        <v>0</v>
      </c>
      <c r="Z53" s="3">
        <f>IFERROR(VLOOKUP($C53,学費計算!$C:$R,学費計算!J$1,0),0)</f>
        <v>0</v>
      </c>
      <c r="AA53" s="3">
        <f>IFERROR(VLOOKUP($C53,学費計算!$C:$R,学費計算!K$1,0),0)</f>
        <v>0</v>
      </c>
      <c r="AB53" s="14"/>
      <c r="AC53" s="18">
        <f t="shared" si="3"/>
        <v>0</v>
      </c>
      <c r="AD53" s="24">
        <f t="shared" si="4"/>
        <v>0</v>
      </c>
      <c r="AE53" s="5">
        <f>IF(AND($C53&gt;=0,$C53&lt;=入力!$R$36),AE$1,0)</f>
        <v>0</v>
      </c>
      <c r="AF53" s="3"/>
      <c r="AG53" s="3"/>
      <c r="AH53" s="3"/>
      <c r="AI53" s="3"/>
      <c r="AJ53" s="14"/>
      <c r="AK53" s="18">
        <f t="shared" si="7"/>
        <v>0</v>
      </c>
      <c r="AL53" s="24">
        <f t="shared" si="5"/>
        <v>0</v>
      </c>
      <c r="AM53" s="24">
        <f t="shared" si="11"/>
        <v>0</v>
      </c>
    </row>
    <row r="54" spans="2:39" x14ac:dyDescent="0.25">
      <c r="B54" s="5">
        <f t="shared" si="12"/>
        <v>67</v>
      </c>
      <c r="C54" s="3">
        <f t="shared" si="9"/>
        <v>-52</v>
      </c>
      <c r="D54" s="34"/>
      <c r="E54" s="3">
        <f>IF(親1!D54&lt;=833.3+42*親1!AS54,IF(AND(C54&gt;=0,C54&lt;=3),1.5*12,IF(AND(C54&gt;3,C54&lt;=15),1*12,0)),IF(AND(C54&gt;=0,C54&lt;=15),0.5*12,0))</f>
        <v>0</v>
      </c>
      <c r="F54" s="3"/>
      <c r="G54" s="3"/>
      <c r="H54" s="3"/>
      <c r="I54" s="14"/>
      <c r="J54" s="24">
        <f t="shared" si="13"/>
        <v>0</v>
      </c>
      <c r="K54" s="5"/>
      <c r="L54" s="3"/>
      <c r="M54" s="3">
        <f>IF(AND($C54&gt;=0,$C54&lt;=入力!$R$38),M$1,0)</f>
        <v>0</v>
      </c>
      <c r="N54" s="3">
        <f>IF(AND($C54&gt;=0,$C54&lt;=入力!$R$38),N$1,0)</f>
        <v>0</v>
      </c>
      <c r="O54" s="3">
        <f>IF(AND($C54&gt;=0,$C54&lt;=入力!$R$38),O$1,0)</f>
        <v>0</v>
      </c>
      <c r="P54" s="3">
        <f>IF(AND($C54&gt;=0,$C54&lt;=入力!$R$38),P$1,0)</f>
        <v>0</v>
      </c>
      <c r="Q54" s="3">
        <f>IF(AND($C54&gt;=0,$C54&lt;=入力!$R$38),Q$1,0)</f>
        <v>0</v>
      </c>
      <c r="R54" s="3"/>
      <c r="S54" s="14"/>
      <c r="T54" s="18">
        <f t="shared" si="10"/>
        <v>0</v>
      </c>
      <c r="U54" s="24">
        <f t="shared" si="2"/>
        <v>0</v>
      </c>
      <c r="V54" s="5"/>
      <c r="W54" s="3">
        <f>IF(AND($C54&gt;=10,$C54&lt;=入力!$R$38),W$1,0)</f>
        <v>0</v>
      </c>
      <c r="X54" s="3">
        <f>IFERROR(VLOOKUP($C54,学費計算!$C:$R,学費計算!H$1,0),0)</f>
        <v>0</v>
      </c>
      <c r="Y54" s="3">
        <f>IFERROR(VLOOKUP($C54,学費計算!$C:$R,学費計算!I$1,0),0)</f>
        <v>0</v>
      </c>
      <c r="Z54" s="3">
        <f>IFERROR(VLOOKUP($C54,学費計算!$C:$R,学費計算!J$1,0),0)</f>
        <v>0</v>
      </c>
      <c r="AA54" s="3">
        <f>IFERROR(VLOOKUP($C54,学費計算!$C:$R,学費計算!K$1,0),0)</f>
        <v>0</v>
      </c>
      <c r="AB54" s="14"/>
      <c r="AC54" s="18">
        <f t="shared" si="3"/>
        <v>0</v>
      </c>
      <c r="AD54" s="24">
        <f t="shared" si="4"/>
        <v>0</v>
      </c>
      <c r="AE54" s="5">
        <f>IF(AND($C54&gt;=0,$C54&lt;=入力!$R$36),AE$1,0)</f>
        <v>0</v>
      </c>
      <c r="AF54" s="3"/>
      <c r="AG54" s="3"/>
      <c r="AH54" s="3"/>
      <c r="AI54" s="3"/>
      <c r="AJ54" s="14"/>
      <c r="AK54" s="18">
        <f t="shared" si="7"/>
        <v>0</v>
      </c>
      <c r="AL54" s="24">
        <f t="shared" si="5"/>
        <v>0</v>
      </c>
      <c r="AM54" s="24">
        <f t="shared" si="11"/>
        <v>0</v>
      </c>
    </row>
    <row r="55" spans="2:39" x14ac:dyDescent="0.25">
      <c r="B55" s="5">
        <f t="shared" si="12"/>
        <v>68</v>
      </c>
      <c r="C55" s="3">
        <f t="shared" si="9"/>
        <v>-51</v>
      </c>
      <c r="D55" s="34"/>
      <c r="E55" s="3">
        <f>IF(親1!D55&lt;=833.3+42*親1!AS55,IF(AND(C55&gt;=0,C55&lt;=3),1.5*12,IF(AND(C55&gt;3,C55&lt;=15),1*12,0)),IF(AND(C55&gt;=0,C55&lt;=15),0.5*12,0))</f>
        <v>0</v>
      </c>
      <c r="F55" s="3"/>
      <c r="G55" s="3"/>
      <c r="H55" s="3"/>
      <c r="I55" s="14"/>
      <c r="J55" s="24">
        <f t="shared" si="13"/>
        <v>0</v>
      </c>
      <c r="K55" s="5"/>
      <c r="L55" s="3"/>
      <c r="M55" s="3">
        <f>IF(AND($C55&gt;=0,$C55&lt;=入力!$R$38),M$1,0)</f>
        <v>0</v>
      </c>
      <c r="N55" s="3">
        <f>IF(AND($C55&gt;=0,$C55&lt;=入力!$R$38),N$1,0)</f>
        <v>0</v>
      </c>
      <c r="O55" s="3">
        <f>IF(AND($C55&gt;=0,$C55&lt;=入力!$R$38),O$1,0)</f>
        <v>0</v>
      </c>
      <c r="P55" s="3">
        <f>IF(AND($C55&gt;=0,$C55&lt;=入力!$R$38),P$1,0)</f>
        <v>0</v>
      </c>
      <c r="Q55" s="3">
        <f>IF(AND($C55&gt;=0,$C55&lt;=入力!$R$38),Q$1,0)</f>
        <v>0</v>
      </c>
      <c r="R55" s="3"/>
      <c r="S55" s="14"/>
      <c r="T55" s="18">
        <f t="shared" si="10"/>
        <v>0</v>
      </c>
      <c r="U55" s="24">
        <f t="shared" si="2"/>
        <v>0</v>
      </c>
      <c r="V55" s="5"/>
      <c r="W55" s="3">
        <f>IF(AND($C55&gt;=10,$C55&lt;=入力!$R$38),W$1,0)</f>
        <v>0</v>
      </c>
      <c r="X55" s="3">
        <f>IFERROR(VLOOKUP($C55,学費計算!$C:$R,学費計算!H$1,0),0)</f>
        <v>0</v>
      </c>
      <c r="Y55" s="3">
        <f>IFERROR(VLOOKUP($C55,学費計算!$C:$R,学費計算!I$1,0),0)</f>
        <v>0</v>
      </c>
      <c r="Z55" s="3">
        <f>IFERROR(VLOOKUP($C55,学費計算!$C:$R,学費計算!J$1,0),0)</f>
        <v>0</v>
      </c>
      <c r="AA55" s="3">
        <f>IFERROR(VLOOKUP($C55,学費計算!$C:$R,学費計算!K$1,0),0)</f>
        <v>0</v>
      </c>
      <c r="AB55" s="14"/>
      <c r="AC55" s="18">
        <f t="shared" si="3"/>
        <v>0</v>
      </c>
      <c r="AD55" s="24">
        <f t="shared" si="4"/>
        <v>0</v>
      </c>
      <c r="AE55" s="5">
        <f>IF(AND($C55&gt;=0,$C55&lt;=入力!$R$36),AE$1,0)</f>
        <v>0</v>
      </c>
      <c r="AF55" s="3"/>
      <c r="AG55" s="3"/>
      <c r="AH55" s="3"/>
      <c r="AI55" s="3"/>
      <c r="AJ55" s="14"/>
      <c r="AK55" s="18">
        <f t="shared" si="7"/>
        <v>0</v>
      </c>
      <c r="AL55" s="24">
        <f t="shared" si="5"/>
        <v>0</v>
      </c>
      <c r="AM55" s="24">
        <f t="shared" si="11"/>
        <v>0</v>
      </c>
    </row>
    <row r="56" spans="2:39" x14ac:dyDescent="0.25">
      <c r="B56" s="5">
        <f t="shared" si="12"/>
        <v>69</v>
      </c>
      <c r="C56" s="3">
        <f t="shared" si="9"/>
        <v>-50</v>
      </c>
      <c r="D56" s="34"/>
      <c r="E56" s="3">
        <f>IF(親1!D56&lt;=833.3+42*親1!AS56,IF(AND(C56&gt;=0,C56&lt;=3),1.5*12,IF(AND(C56&gt;3,C56&lt;=15),1*12,0)),IF(AND(C56&gt;=0,C56&lt;=15),0.5*12,0))</f>
        <v>0</v>
      </c>
      <c r="F56" s="3"/>
      <c r="G56" s="3"/>
      <c r="H56" s="3"/>
      <c r="I56" s="14"/>
      <c r="J56" s="24">
        <f t="shared" si="13"/>
        <v>0</v>
      </c>
      <c r="K56" s="5"/>
      <c r="L56" s="3"/>
      <c r="M56" s="3">
        <f>IF(AND($C56&gt;=0,$C56&lt;=入力!$R$38),M$1,0)</f>
        <v>0</v>
      </c>
      <c r="N56" s="3">
        <f>IF(AND($C56&gt;=0,$C56&lt;=入力!$R$38),N$1,0)</f>
        <v>0</v>
      </c>
      <c r="O56" s="3">
        <f>IF(AND($C56&gt;=0,$C56&lt;=入力!$R$38),O$1,0)</f>
        <v>0</v>
      </c>
      <c r="P56" s="3">
        <f>IF(AND($C56&gt;=0,$C56&lt;=入力!$R$38),P$1,0)</f>
        <v>0</v>
      </c>
      <c r="Q56" s="3">
        <f>IF(AND($C56&gt;=0,$C56&lt;=入力!$R$38),Q$1,0)</f>
        <v>0</v>
      </c>
      <c r="R56" s="3"/>
      <c r="S56" s="14"/>
      <c r="T56" s="18">
        <f t="shared" si="10"/>
        <v>0</v>
      </c>
      <c r="U56" s="24">
        <f t="shared" si="2"/>
        <v>0</v>
      </c>
      <c r="V56" s="5"/>
      <c r="W56" s="3">
        <f>IF(AND($C56&gt;=10,$C56&lt;=入力!$R$38),W$1,0)</f>
        <v>0</v>
      </c>
      <c r="X56" s="3">
        <f>IFERROR(VLOOKUP($C56,学費計算!$C:$R,学費計算!H$1,0),0)</f>
        <v>0</v>
      </c>
      <c r="Y56" s="3">
        <f>IFERROR(VLOOKUP($C56,学費計算!$C:$R,学費計算!I$1,0),0)</f>
        <v>0</v>
      </c>
      <c r="Z56" s="3">
        <f>IFERROR(VLOOKUP($C56,学費計算!$C:$R,学費計算!J$1,0),0)</f>
        <v>0</v>
      </c>
      <c r="AA56" s="3">
        <f>IFERROR(VLOOKUP($C56,学費計算!$C:$R,学費計算!K$1,0),0)</f>
        <v>0</v>
      </c>
      <c r="AB56" s="14"/>
      <c r="AC56" s="18">
        <f t="shared" si="3"/>
        <v>0</v>
      </c>
      <c r="AD56" s="24">
        <f t="shared" si="4"/>
        <v>0</v>
      </c>
      <c r="AE56" s="5">
        <f>IF(AND($C56&gt;=0,$C56&lt;=入力!$R$36),AE$1,0)</f>
        <v>0</v>
      </c>
      <c r="AF56" s="3"/>
      <c r="AG56" s="3"/>
      <c r="AH56" s="3"/>
      <c r="AI56" s="3"/>
      <c r="AJ56" s="14"/>
      <c r="AK56" s="18">
        <f t="shared" si="7"/>
        <v>0</v>
      </c>
      <c r="AL56" s="24">
        <f t="shared" si="5"/>
        <v>0</v>
      </c>
      <c r="AM56" s="24">
        <f t="shared" si="11"/>
        <v>0</v>
      </c>
    </row>
    <row r="57" spans="2:39" x14ac:dyDescent="0.25">
      <c r="B57" s="5">
        <f t="shared" si="12"/>
        <v>70</v>
      </c>
      <c r="C57" s="3">
        <f t="shared" si="9"/>
        <v>-49</v>
      </c>
      <c r="D57" s="34"/>
      <c r="E57" s="3">
        <f>IF(親1!D57&lt;=833.3+42*親1!AS57,IF(AND(C57&gt;=0,C57&lt;=3),1.5*12,IF(AND(C57&gt;3,C57&lt;=15),1*12,0)),IF(AND(C57&gt;=0,C57&lt;=15),0.5*12,0))</f>
        <v>0</v>
      </c>
      <c r="F57" s="3"/>
      <c r="G57" s="3"/>
      <c r="H57" s="3"/>
      <c r="I57" s="14"/>
      <c r="J57" s="24">
        <f t="shared" si="13"/>
        <v>0</v>
      </c>
      <c r="K57" s="5"/>
      <c r="L57" s="3"/>
      <c r="M57" s="3">
        <f>IF(AND($C57&gt;=0,$C57&lt;=入力!$R$38),M$1,0)</f>
        <v>0</v>
      </c>
      <c r="N57" s="3">
        <f>IF(AND($C57&gt;=0,$C57&lt;=入力!$R$38),N$1,0)</f>
        <v>0</v>
      </c>
      <c r="O57" s="3">
        <f>IF(AND($C57&gt;=0,$C57&lt;=入力!$R$38),O$1,0)</f>
        <v>0</v>
      </c>
      <c r="P57" s="3">
        <f>IF(AND($C57&gt;=0,$C57&lt;=入力!$R$38),P$1,0)</f>
        <v>0</v>
      </c>
      <c r="Q57" s="3">
        <f>IF(AND($C57&gt;=0,$C57&lt;=入力!$R$38),Q$1,0)</f>
        <v>0</v>
      </c>
      <c r="R57" s="3"/>
      <c r="S57" s="14"/>
      <c r="T57" s="18">
        <f t="shared" si="10"/>
        <v>0</v>
      </c>
      <c r="U57" s="24">
        <f t="shared" si="2"/>
        <v>0</v>
      </c>
      <c r="V57" s="5"/>
      <c r="W57" s="3">
        <f>IF(AND($C57&gt;=10,$C57&lt;=入力!$R$38),W$1,0)</f>
        <v>0</v>
      </c>
      <c r="X57" s="3">
        <f>IFERROR(VLOOKUP($C57,学費計算!$C:$R,学費計算!H$1,0),0)</f>
        <v>0</v>
      </c>
      <c r="Y57" s="3">
        <f>IFERROR(VLOOKUP($C57,学費計算!$C:$R,学費計算!I$1,0),0)</f>
        <v>0</v>
      </c>
      <c r="Z57" s="3">
        <f>IFERROR(VLOOKUP($C57,学費計算!$C:$R,学費計算!J$1,0),0)</f>
        <v>0</v>
      </c>
      <c r="AA57" s="3">
        <f>IFERROR(VLOOKUP($C57,学費計算!$C:$R,学費計算!K$1,0),0)</f>
        <v>0</v>
      </c>
      <c r="AB57" s="14"/>
      <c r="AC57" s="18">
        <f t="shared" si="3"/>
        <v>0</v>
      </c>
      <c r="AD57" s="24">
        <f t="shared" si="4"/>
        <v>0</v>
      </c>
      <c r="AE57" s="5">
        <f>IF(AND($C57&gt;=0,$C57&lt;=入力!$R$36),AE$1,0)</f>
        <v>0</v>
      </c>
      <c r="AF57" s="3"/>
      <c r="AG57" s="3"/>
      <c r="AH57" s="3"/>
      <c r="AI57" s="3"/>
      <c r="AJ57" s="14"/>
      <c r="AK57" s="18">
        <f t="shared" si="7"/>
        <v>0</v>
      </c>
      <c r="AL57" s="24">
        <f t="shared" si="5"/>
        <v>0</v>
      </c>
      <c r="AM57" s="24">
        <f t="shared" si="11"/>
        <v>0</v>
      </c>
    </row>
    <row r="58" spans="2:39" x14ac:dyDescent="0.25">
      <c r="B58" s="5">
        <f t="shared" si="12"/>
        <v>71</v>
      </c>
      <c r="C58" s="3">
        <f t="shared" si="9"/>
        <v>-48</v>
      </c>
      <c r="D58" s="34"/>
      <c r="E58" s="3">
        <f>IF(親1!D58&lt;=833.3+42*親1!AS58,IF(AND(C58&gt;=0,C58&lt;=3),1.5*12,IF(AND(C58&gt;3,C58&lt;=15),1*12,0)),IF(AND(C58&gt;=0,C58&lt;=15),0.5*12,0))</f>
        <v>0</v>
      </c>
      <c r="F58" s="3"/>
      <c r="G58" s="3"/>
      <c r="H58" s="3"/>
      <c r="I58" s="14"/>
      <c r="J58" s="24">
        <f t="shared" si="13"/>
        <v>0</v>
      </c>
      <c r="K58" s="5"/>
      <c r="L58" s="3"/>
      <c r="M58" s="3">
        <f>IF(AND($C58&gt;=0,$C58&lt;=入力!$R$38),M$1,0)</f>
        <v>0</v>
      </c>
      <c r="N58" s="3">
        <f>IF(AND($C58&gt;=0,$C58&lt;=入力!$R$38),N$1,0)</f>
        <v>0</v>
      </c>
      <c r="O58" s="3">
        <f>IF(AND($C58&gt;=0,$C58&lt;=入力!$R$38),O$1,0)</f>
        <v>0</v>
      </c>
      <c r="P58" s="3">
        <f>IF(AND($C58&gt;=0,$C58&lt;=入力!$R$38),P$1,0)</f>
        <v>0</v>
      </c>
      <c r="Q58" s="3">
        <f>IF(AND($C58&gt;=0,$C58&lt;=入力!$R$38),Q$1,0)</f>
        <v>0</v>
      </c>
      <c r="R58" s="3"/>
      <c r="S58" s="14"/>
      <c r="T58" s="18">
        <f t="shared" si="10"/>
        <v>0</v>
      </c>
      <c r="U58" s="24">
        <f t="shared" si="2"/>
        <v>0</v>
      </c>
      <c r="V58" s="5"/>
      <c r="W58" s="3">
        <f>IF(AND($C58&gt;=10,$C58&lt;=入力!$R$38),W$1,0)</f>
        <v>0</v>
      </c>
      <c r="X58" s="3">
        <f>IFERROR(VLOOKUP($C58,学費計算!$C:$R,学費計算!H$1,0),0)</f>
        <v>0</v>
      </c>
      <c r="Y58" s="3">
        <f>IFERROR(VLOOKUP($C58,学費計算!$C:$R,学費計算!I$1,0),0)</f>
        <v>0</v>
      </c>
      <c r="Z58" s="3">
        <f>IFERROR(VLOOKUP($C58,学費計算!$C:$R,学費計算!J$1,0),0)</f>
        <v>0</v>
      </c>
      <c r="AA58" s="3">
        <f>IFERROR(VLOOKUP($C58,学費計算!$C:$R,学費計算!K$1,0),0)</f>
        <v>0</v>
      </c>
      <c r="AB58" s="14"/>
      <c r="AC58" s="18">
        <f t="shared" si="3"/>
        <v>0</v>
      </c>
      <c r="AD58" s="24">
        <f t="shared" si="4"/>
        <v>0</v>
      </c>
      <c r="AE58" s="5">
        <f>IF(AND($C58&gt;=0,$C58&lt;=入力!$R$36),AE$1,0)</f>
        <v>0</v>
      </c>
      <c r="AF58" s="3"/>
      <c r="AG58" s="3"/>
      <c r="AH58" s="3"/>
      <c r="AI58" s="3"/>
      <c r="AJ58" s="14"/>
      <c r="AK58" s="18">
        <f t="shared" si="7"/>
        <v>0</v>
      </c>
      <c r="AL58" s="24">
        <f t="shared" si="5"/>
        <v>0</v>
      </c>
      <c r="AM58" s="24">
        <f t="shared" si="11"/>
        <v>0</v>
      </c>
    </row>
    <row r="59" spans="2:39" x14ac:dyDescent="0.25">
      <c r="B59" s="5">
        <f t="shared" si="12"/>
        <v>72</v>
      </c>
      <c r="C59" s="3">
        <f t="shared" si="9"/>
        <v>-47</v>
      </c>
      <c r="D59" s="34"/>
      <c r="E59" s="3">
        <f>IF(親1!D59&lt;=833.3+42*親1!AS59,IF(AND(C59&gt;=0,C59&lt;=3),1.5*12,IF(AND(C59&gt;3,C59&lt;=15),1*12,0)),IF(AND(C59&gt;=0,C59&lt;=15),0.5*12,0))</f>
        <v>0</v>
      </c>
      <c r="F59" s="3"/>
      <c r="G59" s="3"/>
      <c r="H59" s="3"/>
      <c r="I59" s="14"/>
      <c r="J59" s="24">
        <f t="shared" si="13"/>
        <v>0</v>
      </c>
      <c r="K59" s="5"/>
      <c r="L59" s="3"/>
      <c r="M59" s="3">
        <f>IF(AND($C59&gt;=0,$C59&lt;=入力!$R$38),M$1,0)</f>
        <v>0</v>
      </c>
      <c r="N59" s="3">
        <f>IF(AND($C59&gt;=0,$C59&lt;=入力!$R$38),N$1,0)</f>
        <v>0</v>
      </c>
      <c r="O59" s="3">
        <f>IF(AND($C59&gt;=0,$C59&lt;=入力!$R$38),O$1,0)</f>
        <v>0</v>
      </c>
      <c r="P59" s="3">
        <f>IF(AND($C59&gt;=0,$C59&lt;=入力!$R$38),P$1,0)</f>
        <v>0</v>
      </c>
      <c r="Q59" s="3">
        <f>IF(AND($C59&gt;=0,$C59&lt;=入力!$R$38),Q$1,0)</f>
        <v>0</v>
      </c>
      <c r="R59" s="3"/>
      <c r="S59" s="14"/>
      <c r="T59" s="18">
        <f t="shared" si="10"/>
        <v>0</v>
      </c>
      <c r="U59" s="24">
        <f t="shared" si="2"/>
        <v>0</v>
      </c>
      <c r="V59" s="5"/>
      <c r="W59" s="3">
        <f>IF(AND($C59&gt;=10,$C59&lt;=入力!$R$38),W$1,0)</f>
        <v>0</v>
      </c>
      <c r="X59" s="3">
        <f>IFERROR(VLOOKUP($C59,学費計算!$C:$R,学費計算!H$1,0),0)</f>
        <v>0</v>
      </c>
      <c r="Y59" s="3">
        <f>IFERROR(VLOOKUP($C59,学費計算!$C:$R,学費計算!I$1,0),0)</f>
        <v>0</v>
      </c>
      <c r="Z59" s="3">
        <f>IFERROR(VLOOKUP($C59,学費計算!$C:$R,学費計算!J$1,0),0)</f>
        <v>0</v>
      </c>
      <c r="AA59" s="3">
        <f>IFERROR(VLOOKUP($C59,学費計算!$C:$R,学費計算!K$1,0),0)</f>
        <v>0</v>
      </c>
      <c r="AB59" s="14"/>
      <c r="AC59" s="18">
        <f t="shared" si="3"/>
        <v>0</v>
      </c>
      <c r="AD59" s="24">
        <f t="shared" si="4"/>
        <v>0</v>
      </c>
      <c r="AE59" s="5">
        <f>IF(AND($C59&gt;=0,$C59&lt;=入力!$R$36),AE$1,0)</f>
        <v>0</v>
      </c>
      <c r="AF59" s="3"/>
      <c r="AG59" s="3"/>
      <c r="AH59" s="3"/>
      <c r="AI59" s="3"/>
      <c r="AJ59" s="14"/>
      <c r="AK59" s="18">
        <f t="shared" si="7"/>
        <v>0</v>
      </c>
      <c r="AL59" s="24">
        <f t="shared" si="5"/>
        <v>0</v>
      </c>
      <c r="AM59" s="24">
        <f t="shared" si="11"/>
        <v>0</v>
      </c>
    </row>
    <row r="60" spans="2:39" x14ac:dyDescent="0.25">
      <c r="B60" s="5">
        <f t="shared" si="12"/>
        <v>73</v>
      </c>
      <c r="C60" s="3">
        <f t="shared" si="9"/>
        <v>-46</v>
      </c>
      <c r="D60" s="34"/>
      <c r="E60" s="3">
        <f>IF(親1!D60&lt;=833.3+42*親1!AS60,IF(AND(C60&gt;=0,C60&lt;=3),1.5*12,IF(AND(C60&gt;3,C60&lt;=15),1*12,0)),IF(AND(C60&gt;=0,C60&lt;=15),0.5*12,0))</f>
        <v>0</v>
      </c>
      <c r="F60" s="3"/>
      <c r="G60" s="3"/>
      <c r="H60" s="3"/>
      <c r="I60" s="14"/>
      <c r="J60" s="24">
        <f t="shared" si="13"/>
        <v>0</v>
      </c>
      <c r="K60" s="5"/>
      <c r="L60" s="3"/>
      <c r="M60" s="3">
        <f>IF(AND($C60&gt;=0,$C60&lt;=入力!$R$38),M$1,0)</f>
        <v>0</v>
      </c>
      <c r="N60" s="3">
        <f>IF(AND($C60&gt;=0,$C60&lt;=入力!$R$38),N$1,0)</f>
        <v>0</v>
      </c>
      <c r="O60" s="3">
        <f>IF(AND($C60&gt;=0,$C60&lt;=入力!$R$38),O$1,0)</f>
        <v>0</v>
      </c>
      <c r="P60" s="3">
        <f>IF(AND($C60&gt;=0,$C60&lt;=入力!$R$38),P$1,0)</f>
        <v>0</v>
      </c>
      <c r="Q60" s="3">
        <f>IF(AND($C60&gt;=0,$C60&lt;=入力!$R$38),Q$1,0)</f>
        <v>0</v>
      </c>
      <c r="R60" s="3"/>
      <c r="S60" s="14"/>
      <c r="T60" s="18">
        <f t="shared" si="10"/>
        <v>0</v>
      </c>
      <c r="U60" s="24">
        <f t="shared" si="2"/>
        <v>0</v>
      </c>
      <c r="V60" s="5"/>
      <c r="W60" s="3">
        <f>IF(AND($C60&gt;=10,$C60&lt;=入力!$R$38),W$1,0)</f>
        <v>0</v>
      </c>
      <c r="X60" s="3">
        <f>IFERROR(VLOOKUP($C60,学費計算!$C:$R,学費計算!H$1,0),0)</f>
        <v>0</v>
      </c>
      <c r="Y60" s="3">
        <f>IFERROR(VLOOKUP($C60,学費計算!$C:$R,学費計算!I$1,0),0)</f>
        <v>0</v>
      </c>
      <c r="Z60" s="3">
        <f>IFERROR(VLOOKUP($C60,学費計算!$C:$R,学費計算!J$1,0),0)</f>
        <v>0</v>
      </c>
      <c r="AA60" s="3">
        <f>IFERROR(VLOOKUP($C60,学費計算!$C:$R,学費計算!K$1,0),0)</f>
        <v>0</v>
      </c>
      <c r="AB60" s="14"/>
      <c r="AC60" s="18">
        <f t="shared" si="3"/>
        <v>0</v>
      </c>
      <c r="AD60" s="24">
        <f t="shared" si="4"/>
        <v>0</v>
      </c>
      <c r="AE60" s="5">
        <f>IF(AND($C60&gt;=0,$C60&lt;=入力!$R$36),AE$1,0)</f>
        <v>0</v>
      </c>
      <c r="AF60" s="3"/>
      <c r="AG60" s="3"/>
      <c r="AH60" s="3"/>
      <c r="AI60" s="3"/>
      <c r="AJ60" s="14"/>
      <c r="AK60" s="18">
        <f t="shared" si="7"/>
        <v>0</v>
      </c>
      <c r="AL60" s="24">
        <f t="shared" si="5"/>
        <v>0</v>
      </c>
      <c r="AM60" s="24">
        <f t="shared" si="11"/>
        <v>0</v>
      </c>
    </row>
    <row r="61" spans="2:39" x14ac:dyDescent="0.25">
      <c r="B61" s="5">
        <f t="shared" si="12"/>
        <v>74</v>
      </c>
      <c r="C61" s="3">
        <f t="shared" si="9"/>
        <v>-45</v>
      </c>
      <c r="D61" s="34"/>
      <c r="E61" s="3">
        <f>IF(親1!D61&lt;=833.3+42*親1!AS61,IF(AND(C61&gt;=0,C61&lt;=3),1.5*12,IF(AND(C61&gt;3,C61&lt;=15),1*12,0)),IF(AND(C61&gt;=0,C61&lt;=15),0.5*12,0))</f>
        <v>0</v>
      </c>
      <c r="F61" s="3"/>
      <c r="G61" s="3"/>
      <c r="H61" s="3"/>
      <c r="I61" s="14"/>
      <c r="J61" s="24">
        <f t="shared" si="13"/>
        <v>0</v>
      </c>
      <c r="K61" s="5"/>
      <c r="L61" s="3"/>
      <c r="M61" s="3">
        <f>IF(AND($C61&gt;=0,$C61&lt;=入力!$R$38),M$1,0)</f>
        <v>0</v>
      </c>
      <c r="N61" s="3">
        <f>IF(AND($C61&gt;=0,$C61&lt;=入力!$R$38),N$1,0)</f>
        <v>0</v>
      </c>
      <c r="O61" s="3">
        <f>IF(AND($C61&gt;=0,$C61&lt;=入力!$R$38),O$1,0)</f>
        <v>0</v>
      </c>
      <c r="P61" s="3">
        <f>IF(AND($C61&gt;=0,$C61&lt;=入力!$R$38),P$1,0)</f>
        <v>0</v>
      </c>
      <c r="Q61" s="3">
        <f>IF(AND($C61&gt;=0,$C61&lt;=入力!$R$38),Q$1,0)</f>
        <v>0</v>
      </c>
      <c r="R61" s="3"/>
      <c r="S61" s="14"/>
      <c r="T61" s="18">
        <f t="shared" si="10"/>
        <v>0</v>
      </c>
      <c r="U61" s="24">
        <f t="shared" si="2"/>
        <v>0</v>
      </c>
      <c r="V61" s="5"/>
      <c r="W61" s="3">
        <f>IF(AND($C61&gt;=10,$C61&lt;=入力!$R$38),W$1,0)</f>
        <v>0</v>
      </c>
      <c r="X61" s="3">
        <f>IFERROR(VLOOKUP($C61,学費計算!$C:$R,学費計算!H$1,0),0)</f>
        <v>0</v>
      </c>
      <c r="Y61" s="3">
        <f>IFERROR(VLOOKUP($C61,学費計算!$C:$R,学費計算!I$1,0),0)</f>
        <v>0</v>
      </c>
      <c r="Z61" s="3">
        <f>IFERROR(VLOOKUP($C61,学費計算!$C:$R,学費計算!J$1,0),0)</f>
        <v>0</v>
      </c>
      <c r="AA61" s="3">
        <f>IFERROR(VLOOKUP($C61,学費計算!$C:$R,学費計算!K$1,0),0)</f>
        <v>0</v>
      </c>
      <c r="AB61" s="14"/>
      <c r="AC61" s="18">
        <f t="shared" si="3"/>
        <v>0</v>
      </c>
      <c r="AD61" s="24">
        <f t="shared" si="4"/>
        <v>0</v>
      </c>
      <c r="AE61" s="5">
        <f>IF(AND($C61&gt;=0,$C61&lt;=入力!$R$36),AE$1,0)</f>
        <v>0</v>
      </c>
      <c r="AF61" s="3"/>
      <c r="AG61" s="3"/>
      <c r="AH61" s="3"/>
      <c r="AI61" s="3"/>
      <c r="AJ61" s="14"/>
      <c r="AK61" s="18">
        <f t="shared" si="7"/>
        <v>0</v>
      </c>
      <c r="AL61" s="24">
        <f t="shared" si="5"/>
        <v>0</v>
      </c>
      <c r="AM61" s="24">
        <f t="shared" si="11"/>
        <v>0</v>
      </c>
    </row>
    <row r="62" spans="2:39" x14ac:dyDescent="0.25">
      <c r="B62" s="5">
        <f t="shared" si="12"/>
        <v>75</v>
      </c>
      <c r="C62" s="3">
        <f t="shared" si="9"/>
        <v>-44</v>
      </c>
      <c r="D62" s="34"/>
      <c r="E62" s="3">
        <f>IF(親1!D62&lt;=833.3+42*親1!AS62,IF(AND(C62&gt;=0,C62&lt;=3),1.5*12,IF(AND(C62&gt;3,C62&lt;=15),1*12,0)),IF(AND(C62&gt;=0,C62&lt;=15),0.5*12,0))</f>
        <v>0</v>
      </c>
      <c r="F62" s="3"/>
      <c r="G62" s="3"/>
      <c r="H62" s="3"/>
      <c r="I62" s="14"/>
      <c r="J62" s="24">
        <f t="shared" si="13"/>
        <v>0</v>
      </c>
      <c r="K62" s="5"/>
      <c r="L62" s="3"/>
      <c r="M62" s="3">
        <f>IF(AND($C62&gt;=0,$C62&lt;=入力!$R$38),M$1,0)</f>
        <v>0</v>
      </c>
      <c r="N62" s="3">
        <f>IF(AND($C62&gt;=0,$C62&lt;=入力!$R$38),N$1,0)</f>
        <v>0</v>
      </c>
      <c r="O62" s="3">
        <f>IF(AND($C62&gt;=0,$C62&lt;=入力!$R$38),O$1,0)</f>
        <v>0</v>
      </c>
      <c r="P62" s="3">
        <f>IF(AND($C62&gt;=0,$C62&lt;=入力!$R$38),P$1,0)</f>
        <v>0</v>
      </c>
      <c r="Q62" s="3">
        <f>IF(AND($C62&gt;=0,$C62&lt;=入力!$R$38),Q$1,0)</f>
        <v>0</v>
      </c>
      <c r="R62" s="3"/>
      <c r="S62" s="14"/>
      <c r="T62" s="18">
        <f t="shared" si="10"/>
        <v>0</v>
      </c>
      <c r="U62" s="24">
        <f t="shared" si="2"/>
        <v>0</v>
      </c>
      <c r="V62" s="5"/>
      <c r="W62" s="3">
        <f>IF(AND($C62&gt;=10,$C62&lt;=入力!$R$38),W$1,0)</f>
        <v>0</v>
      </c>
      <c r="X62" s="3">
        <f>IFERROR(VLOOKUP($C62,学費計算!$C:$R,学費計算!H$1,0),0)</f>
        <v>0</v>
      </c>
      <c r="Y62" s="3">
        <f>IFERROR(VLOOKUP($C62,学費計算!$C:$R,学費計算!I$1,0),0)</f>
        <v>0</v>
      </c>
      <c r="Z62" s="3">
        <f>IFERROR(VLOOKUP($C62,学費計算!$C:$R,学費計算!J$1,0),0)</f>
        <v>0</v>
      </c>
      <c r="AA62" s="3">
        <f>IFERROR(VLOOKUP($C62,学費計算!$C:$R,学費計算!K$1,0),0)</f>
        <v>0</v>
      </c>
      <c r="AB62" s="14"/>
      <c r="AC62" s="18">
        <f t="shared" si="3"/>
        <v>0</v>
      </c>
      <c r="AD62" s="24">
        <f t="shared" si="4"/>
        <v>0</v>
      </c>
      <c r="AE62" s="5">
        <f>IF(AND($C62&gt;=0,$C62&lt;=入力!$R$36),AE$1,0)</f>
        <v>0</v>
      </c>
      <c r="AF62" s="3"/>
      <c r="AG62" s="3"/>
      <c r="AH62" s="3"/>
      <c r="AI62" s="3"/>
      <c r="AJ62" s="14"/>
      <c r="AK62" s="18">
        <f t="shared" si="7"/>
        <v>0</v>
      </c>
      <c r="AL62" s="24">
        <f t="shared" si="5"/>
        <v>0</v>
      </c>
      <c r="AM62" s="24">
        <f t="shared" si="11"/>
        <v>0</v>
      </c>
    </row>
    <row r="63" spans="2:39" x14ac:dyDescent="0.25">
      <c r="B63" s="5">
        <f t="shared" si="12"/>
        <v>76</v>
      </c>
      <c r="C63" s="3">
        <f t="shared" si="9"/>
        <v>-43</v>
      </c>
      <c r="D63" s="34"/>
      <c r="E63" s="3">
        <f>IF(親1!D63&lt;=833.3+42*親1!AS63,IF(AND(C63&gt;=0,C63&lt;=3),1.5*12,IF(AND(C63&gt;3,C63&lt;=15),1*12,0)),IF(AND(C63&gt;=0,C63&lt;=15),0.5*12,0))</f>
        <v>0</v>
      </c>
      <c r="F63" s="3"/>
      <c r="G63" s="3"/>
      <c r="H63" s="3"/>
      <c r="I63" s="14"/>
      <c r="J63" s="24">
        <f t="shared" si="13"/>
        <v>0</v>
      </c>
      <c r="K63" s="5"/>
      <c r="L63" s="3"/>
      <c r="M63" s="3">
        <f>IF(AND($C63&gt;=0,$C63&lt;=入力!$R$38),M$1,0)</f>
        <v>0</v>
      </c>
      <c r="N63" s="3">
        <f>IF(AND($C63&gt;=0,$C63&lt;=入力!$R$38),N$1,0)</f>
        <v>0</v>
      </c>
      <c r="O63" s="3">
        <f>IF(AND($C63&gt;=0,$C63&lt;=入力!$R$38),O$1,0)</f>
        <v>0</v>
      </c>
      <c r="P63" s="3">
        <f>IF(AND($C63&gt;=0,$C63&lt;=入力!$R$38),P$1,0)</f>
        <v>0</v>
      </c>
      <c r="Q63" s="3">
        <f>IF(AND($C63&gt;=0,$C63&lt;=入力!$R$38),Q$1,0)</f>
        <v>0</v>
      </c>
      <c r="R63" s="3"/>
      <c r="S63" s="14"/>
      <c r="T63" s="18">
        <f t="shared" si="10"/>
        <v>0</v>
      </c>
      <c r="U63" s="24">
        <f t="shared" si="2"/>
        <v>0</v>
      </c>
      <c r="V63" s="5"/>
      <c r="W63" s="3">
        <f>IF(AND($C63&gt;=10,$C63&lt;=入力!$R$38),W$1,0)</f>
        <v>0</v>
      </c>
      <c r="X63" s="3">
        <f>IFERROR(VLOOKUP($C63,学費計算!$C:$R,学費計算!H$1,0),0)</f>
        <v>0</v>
      </c>
      <c r="Y63" s="3">
        <f>IFERROR(VLOOKUP($C63,学費計算!$C:$R,学費計算!I$1,0),0)</f>
        <v>0</v>
      </c>
      <c r="Z63" s="3">
        <f>IFERROR(VLOOKUP($C63,学費計算!$C:$R,学費計算!J$1,0),0)</f>
        <v>0</v>
      </c>
      <c r="AA63" s="3">
        <f>IFERROR(VLOOKUP($C63,学費計算!$C:$R,学費計算!K$1,0),0)</f>
        <v>0</v>
      </c>
      <c r="AB63" s="14"/>
      <c r="AC63" s="18">
        <f t="shared" si="3"/>
        <v>0</v>
      </c>
      <c r="AD63" s="24">
        <f t="shared" si="4"/>
        <v>0</v>
      </c>
      <c r="AE63" s="5">
        <f>IF(AND($C63&gt;=0,$C63&lt;=入力!$R$36),AE$1,0)</f>
        <v>0</v>
      </c>
      <c r="AF63" s="3"/>
      <c r="AG63" s="3"/>
      <c r="AH63" s="3"/>
      <c r="AI63" s="3"/>
      <c r="AJ63" s="14"/>
      <c r="AK63" s="18">
        <f t="shared" si="7"/>
        <v>0</v>
      </c>
      <c r="AL63" s="24">
        <f t="shared" si="5"/>
        <v>0</v>
      </c>
      <c r="AM63" s="24">
        <f t="shared" si="11"/>
        <v>0</v>
      </c>
    </row>
    <row r="64" spans="2:39" x14ac:dyDescent="0.25">
      <c r="B64" s="5">
        <f t="shared" si="12"/>
        <v>77</v>
      </c>
      <c r="C64" s="3">
        <f t="shared" si="9"/>
        <v>-42</v>
      </c>
      <c r="D64" s="34"/>
      <c r="E64" s="3">
        <f>IF(親1!D64&lt;=833.3+42*親1!AS64,IF(AND(C64&gt;=0,C64&lt;=3),1.5*12,IF(AND(C64&gt;3,C64&lt;=15),1*12,0)),IF(AND(C64&gt;=0,C64&lt;=15),0.5*12,0))</f>
        <v>0</v>
      </c>
      <c r="F64" s="3"/>
      <c r="G64" s="3"/>
      <c r="H64" s="3"/>
      <c r="I64" s="14"/>
      <c r="J64" s="24">
        <f t="shared" si="13"/>
        <v>0</v>
      </c>
      <c r="K64" s="5"/>
      <c r="L64" s="3"/>
      <c r="M64" s="3">
        <f>IF(AND($C64&gt;=0,$C64&lt;=入力!$R$38),M$1,0)</f>
        <v>0</v>
      </c>
      <c r="N64" s="3">
        <f>IF(AND($C64&gt;=0,$C64&lt;=入力!$R$38),N$1,0)</f>
        <v>0</v>
      </c>
      <c r="O64" s="3">
        <f>IF(AND($C64&gt;=0,$C64&lt;=入力!$R$38),O$1,0)</f>
        <v>0</v>
      </c>
      <c r="P64" s="3">
        <f>IF(AND($C64&gt;=0,$C64&lt;=入力!$R$38),P$1,0)</f>
        <v>0</v>
      </c>
      <c r="Q64" s="3">
        <f>IF(AND($C64&gt;=0,$C64&lt;=入力!$R$38),Q$1,0)</f>
        <v>0</v>
      </c>
      <c r="R64" s="3"/>
      <c r="S64" s="14"/>
      <c r="T64" s="18">
        <f t="shared" si="10"/>
        <v>0</v>
      </c>
      <c r="U64" s="24">
        <f t="shared" si="2"/>
        <v>0</v>
      </c>
      <c r="V64" s="5"/>
      <c r="W64" s="3">
        <f>IF(AND($C64&gt;=10,$C64&lt;=入力!$R$38),W$1,0)</f>
        <v>0</v>
      </c>
      <c r="X64" s="3">
        <f>IFERROR(VLOOKUP($C64,学費計算!$C:$R,学費計算!H$1,0),0)</f>
        <v>0</v>
      </c>
      <c r="Y64" s="3">
        <f>IFERROR(VLOOKUP($C64,学費計算!$C:$R,学費計算!I$1,0),0)</f>
        <v>0</v>
      </c>
      <c r="Z64" s="3">
        <f>IFERROR(VLOOKUP($C64,学費計算!$C:$R,学費計算!J$1,0),0)</f>
        <v>0</v>
      </c>
      <c r="AA64" s="3">
        <f>IFERROR(VLOOKUP($C64,学費計算!$C:$R,学費計算!K$1,0),0)</f>
        <v>0</v>
      </c>
      <c r="AB64" s="14"/>
      <c r="AC64" s="18">
        <f t="shared" si="3"/>
        <v>0</v>
      </c>
      <c r="AD64" s="24">
        <f t="shared" si="4"/>
        <v>0</v>
      </c>
      <c r="AE64" s="5">
        <f>IF(AND($C64&gt;=0,$C64&lt;=入力!$R$36),AE$1,0)</f>
        <v>0</v>
      </c>
      <c r="AF64" s="3"/>
      <c r="AG64" s="3"/>
      <c r="AH64" s="3"/>
      <c r="AI64" s="3"/>
      <c r="AJ64" s="14"/>
      <c r="AK64" s="18">
        <f t="shared" si="7"/>
        <v>0</v>
      </c>
      <c r="AL64" s="24">
        <f t="shared" si="5"/>
        <v>0</v>
      </c>
      <c r="AM64" s="24">
        <f t="shared" si="11"/>
        <v>0</v>
      </c>
    </row>
    <row r="65" spans="2:39" x14ac:dyDescent="0.25">
      <c r="B65" s="5">
        <f t="shared" si="12"/>
        <v>78</v>
      </c>
      <c r="C65" s="3">
        <f t="shared" si="9"/>
        <v>-41</v>
      </c>
      <c r="D65" s="34"/>
      <c r="E65" s="3">
        <f>IF(親1!D65&lt;=833.3+42*親1!AS65,IF(AND(C65&gt;=0,C65&lt;=3),1.5*12,IF(AND(C65&gt;3,C65&lt;=15),1*12,0)),IF(AND(C65&gt;=0,C65&lt;=15),0.5*12,0))</f>
        <v>0</v>
      </c>
      <c r="F65" s="3"/>
      <c r="G65" s="3"/>
      <c r="H65" s="3"/>
      <c r="I65" s="14"/>
      <c r="J65" s="24">
        <f t="shared" si="13"/>
        <v>0</v>
      </c>
      <c r="K65" s="5"/>
      <c r="L65" s="3"/>
      <c r="M65" s="3">
        <f>IF(AND($C65&gt;=0,$C65&lt;=入力!$R$38),M$1,0)</f>
        <v>0</v>
      </c>
      <c r="N65" s="3">
        <f>IF(AND($C65&gt;=0,$C65&lt;=入力!$R$38),N$1,0)</f>
        <v>0</v>
      </c>
      <c r="O65" s="3">
        <f>IF(AND($C65&gt;=0,$C65&lt;=入力!$R$38),O$1,0)</f>
        <v>0</v>
      </c>
      <c r="P65" s="3">
        <f>IF(AND($C65&gt;=0,$C65&lt;=入力!$R$38),P$1,0)</f>
        <v>0</v>
      </c>
      <c r="Q65" s="3">
        <f>IF(AND($C65&gt;=0,$C65&lt;=入力!$R$38),Q$1,0)</f>
        <v>0</v>
      </c>
      <c r="R65" s="3"/>
      <c r="S65" s="14"/>
      <c r="T65" s="18">
        <f t="shared" si="10"/>
        <v>0</v>
      </c>
      <c r="U65" s="24">
        <f t="shared" si="2"/>
        <v>0</v>
      </c>
      <c r="V65" s="5"/>
      <c r="W65" s="3">
        <f>IF(AND($C65&gt;=10,$C65&lt;=入力!$R$38),W$1,0)</f>
        <v>0</v>
      </c>
      <c r="X65" s="3">
        <f>IFERROR(VLOOKUP($C65,学費計算!$C:$R,学費計算!H$1,0),0)</f>
        <v>0</v>
      </c>
      <c r="Y65" s="3">
        <f>IFERROR(VLOOKUP($C65,学費計算!$C:$R,学費計算!I$1,0),0)</f>
        <v>0</v>
      </c>
      <c r="Z65" s="3">
        <f>IFERROR(VLOOKUP($C65,学費計算!$C:$R,学費計算!J$1,0),0)</f>
        <v>0</v>
      </c>
      <c r="AA65" s="3">
        <f>IFERROR(VLOOKUP($C65,学費計算!$C:$R,学費計算!K$1,0),0)</f>
        <v>0</v>
      </c>
      <c r="AB65" s="14"/>
      <c r="AC65" s="18">
        <f t="shared" si="3"/>
        <v>0</v>
      </c>
      <c r="AD65" s="24">
        <f t="shared" si="4"/>
        <v>0</v>
      </c>
      <c r="AE65" s="5">
        <f>IF(AND($C65&gt;=0,$C65&lt;=入力!$R$36),AE$1,0)</f>
        <v>0</v>
      </c>
      <c r="AF65" s="3"/>
      <c r="AG65" s="3"/>
      <c r="AH65" s="3"/>
      <c r="AI65" s="3"/>
      <c r="AJ65" s="14"/>
      <c r="AK65" s="18">
        <f t="shared" si="7"/>
        <v>0</v>
      </c>
      <c r="AL65" s="24">
        <f t="shared" si="5"/>
        <v>0</v>
      </c>
      <c r="AM65" s="24">
        <f t="shared" si="11"/>
        <v>0</v>
      </c>
    </row>
    <row r="66" spans="2:39" x14ac:dyDescent="0.25">
      <c r="B66" s="5">
        <f t="shared" si="12"/>
        <v>79</v>
      </c>
      <c r="C66" s="3">
        <f t="shared" si="9"/>
        <v>-40</v>
      </c>
      <c r="D66" s="34"/>
      <c r="E66" s="3">
        <f>IF(親1!D66&lt;=833.3+42*親1!AS66,IF(AND(C66&gt;=0,C66&lt;=3),1.5*12,IF(AND(C66&gt;3,C66&lt;=15),1*12,0)),IF(AND(C66&gt;=0,C66&lt;=15),0.5*12,0))</f>
        <v>0</v>
      </c>
      <c r="F66" s="3"/>
      <c r="G66" s="3"/>
      <c r="H66" s="3"/>
      <c r="I66" s="14"/>
      <c r="J66" s="24">
        <f t="shared" si="13"/>
        <v>0</v>
      </c>
      <c r="K66" s="5"/>
      <c r="L66" s="3"/>
      <c r="M66" s="3">
        <f>IF(AND($C66&gt;=0,$C66&lt;=入力!$R$38),M$1,0)</f>
        <v>0</v>
      </c>
      <c r="N66" s="3">
        <f>IF(AND($C66&gt;=0,$C66&lt;=入力!$R$38),N$1,0)</f>
        <v>0</v>
      </c>
      <c r="O66" s="3">
        <f>IF(AND($C66&gt;=0,$C66&lt;=入力!$R$38),O$1,0)</f>
        <v>0</v>
      </c>
      <c r="P66" s="3">
        <f>IF(AND($C66&gt;=0,$C66&lt;=入力!$R$38),P$1,0)</f>
        <v>0</v>
      </c>
      <c r="Q66" s="3">
        <f>IF(AND($C66&gt;=0,$C66&lt;=入力!$R$38),Q$1,0)</f>
        <v>0</v>
      </c>
      <c r="R66" s="3"/>
      <c r="S66" s="14"/>
      <c r="T66" s="18">
        <f t="shared" si="10"/>
        <v>0</v>
      </c>
      <c r="U66" s="24">
        <f t="shared" si="2"/>
        <v>0</v>
      </c>
      <c r="V66" s="5"/>
      <c r="W66" s="3">
        <f>IF(AND($C66&gt;=10,$C66&lt;=入力!$R$38),W$1,0)</f>
        <v>0</v>
      </c>
      <c r="X66" s="3">
        <f>IFERROR(VLOOKUP($C66,学費計算!$C:$R,学費計算!H$1,0),0)</f>
        <v>0</v>
      </c>
      <c r="Y66" s="3">
        <f>IFERROR(VLOOKUP($C66,学費計算!$C:$R,学費計算!I$1,0),0)</f>
        <v>0</v>
      </c>
      <c r="Z66" s="3">
        <f>IFERROR(VLOOKUP($C66,学費計算!$C:$R,学費計算!J$1,0),0)</f>
        <v>0</v>
      </c>
      <c r="AA66" s="3">
        <f>IFERROR(VLOOKUP($C66,学費計算!$C:$R,学費計算!K$1,0),0)</f>
        <v>0</v>
      </c>
      <c r="AB66" s="14"/>
      <c r="AC66" s="18">
        <f t="shared" si="3"/>
        <v>0</v>
      </c>
      <c r="AD66" s="24">
        <f t="shared" si="4"/>
        <v>0</v>
      </c>
      <c r="AE66" s="5">
        <f>IF(AND($C66&gt;=0,$C66&lt;=入力!$R$36),AE$1,0)</f>
        <v>0</v>
      </c>
      <c r="AF66" s="3"/>
      <c r="AG66" s="3"/>
      <c r="AH66" s="3"/>
      <c r="AI66" s="3"/>
      <c r="AJ66" s="14"/>
      <c r="AK66" s="18">
        <f t="shared" si="7"/>
        <v>0</v>
      </c>
      <c r="AL66" s="24">
        <f t="shared" si="5"/>
        <v>0</v>
      </c>
      <c r="AM66" s="24">
        <f t="shared" si="11"/>
        <v>0</v>
      </c>
    </row>
    <row r="67" spans="2:39" x14ac:dyDescent="0.25">
      <c r="B67" s="5">
        <f t="shared" si="12"/>
        <v>80</v>
      </c>
      <c r="C67" s="3">
        <f t="shared" si="9"/>
        <v>-39</v>
      </c>
      <c r="D67" s="34"/>
      <c r="E67" s="3">
        <f>IF(親1!D67&lt;=833.3+42*親1!AS67,IF(AND(C67&gt;=0,C67&lt;=3),1.5*12,IF(AND(C67&gt;3,C67&lt;=15),1*12,0)),IF(AND(C67&gt;=0,C67&lt;=15),0.5*12,0))</f>
        <v>0</v>
      </c>
      <c r="F67" s="3"/>
      <c r="G67" s="3"/>
      <c r="H67" s="3"/>
      <c r="I67" s="14"/>
      <c r="J67" s="24">
        <f t="shared" si="13"/>
        <v>0</v>
      </c>
      <c r="K67" s="5"/>
      <c r="L67" s="3"/>
      <c r="M67" s="3">
        <f>IF(AND($C67&gt;=0,$C67&lt;=入力!$R$38),M$1,0)</f>
        <v>0</v>
      </c>
      <c r="N67" s="3">
        <f>IF(AND($C67&gt;=0,$C67&lt;=入力!$R$38),N$1,0)</f>
        <v>0</v>
      </c>
      <c r="O67" s="3">
        <f>IF(AND($C67&gt;=0,$C67&lt;=入力!$R$38),O$1,0)</f>
        <v>0</v>
      </c>
      <c r="P67" s="3">
        <f>IF(AND($C67&gt;=0,$C67&lt;=入力!$R$38),P$1,0)</f>
        <v>0</v>
      </c>
      <c r="Q67" s="3">
        <f>IF(AND($C67&gt;=0,$C67&lt;=入力!$R$38),Q$1,0)</f>
        <v>0</v>
      </c>
      <c r="R67" s="3"/>
      <c r="S67" s="14"/>
      <c r="T67" s="18">
        <f t="shared" si="10"/>
        <v>0</v>
      </c>
      <c r="U67" s="24">
        <f t="shared" si="2"/>
        <v>0</v>
      </c>
      <c r="V67" s="5"/>
      <c r="W67" s="3">
        <f>IF(AND($C67&gt;=10,$C67&lt;=入力!$R$38),W$1,0)</f>
        <v>0</v>
      </c>
      <c r="X67" s="3">
        <f>IFERROR(VLOOKUP($C67,学費計算!$C:$R,学費計算!H$1,0),0)</f>
        <v>0</v>
      </c>
      <c r="Y67" s="3">
        <f>IFERROR(VLOOKUP($C67,学費計算!$C:$R,学費計算!I$1,0),0)</f>
        <v>0</v>
      </c>
      <c r="Z67" s="3">
        <f>IFERROR(VLOOKUP($C67,学費計算!$C:$R,学費計算!J$1,0),0)</f>
        <v>0</v>
      </c>
      <c r="AA67" s="3">
        <f>IFERROR(VLOOKUP($C67,学費計算!$C:$R,学費計算!K$1,0),0)</f>
        <v>0</v>
      </c>
      <c r="AB67" s="14"/>
      <c r="AC67" s="18">
        <f t="shared" si="3"/>
        <v>0</v>
      </c>
      <c r="AD67" s="24">
        <f t="shared" si="4"/>
        <v>0</v>
      </c>
      <c r="AE67" s="5">
        <f>IF(AND($C67&gt;=0,$C67&lt;=入力!$R$36),AE$1,0)</f>
        <v>0</v>
      </c>
      <c r="AF67" s="3"/>
      <c r="AG67" s="3"/>
      <c r="AH67" s="3"/>
      <c r="AI67" s="3"/>
      <c r="AJ67" s="14"/>
      <c r="AK67" s="18">
        <f t="shared" si="7"/>
        <v>0</v>
      </c>
      <c r="AL67" s="24">
        <f t="shared" si="5"/>
        <v>0</v>
      </c>
      <c r="AM67" s="24">
        <f t="shared" si="11"/>
        <v>0</v>
      </c>
    </row>
    <row r="68" spans="2:39" x14ac:dyDescent="0.25">
      <c r="B68" s="5">
        <f t="shared" si="12"/>
        <v>81</v>
      </c>
      <c r="C68" s="3">
        <f t="shared" si="9"/>
        <v>-38</v>
      </c>
      <c r="D68" s="34"/>
      <c r="E68" s="3">
        <f>IF(親1!D68&lt;=833.3+42*親1!AS68,IF(AND(C68&gt;=0,C68&lt;=3),1.5*12,IF(AND(C68&gt;3,C68&lt;=15),1*12,0)),IF(AND(C68&gt;=0,C68&lt;=15),0.5*12,0))</f>
        <v>0</v>
      </c>
      <c r="F68" s="3"/>
      <c r="G68" s="3"/>
      <c r="H68" s="3"/>
      <c r="I68" s="14"/>
      <c r="J68" s="24">
        <f t="shared" si="13"/>
        <v>0</v>
      </c>
      <c r="K68" s="5"/>
      <c r="L68" s="3"/>
      <c r="M68" s="3">
        <f>IF(AND($C68&gt;=0,$C68&lt;=入力!$R$38),M$1,0)</f>
        <v>0</v>
      </c>
      <c r="N68" s="3">
        <f>IF(AND($C68&gt;=0,$C68&lt;=入力!$R$38),N$1,0)</f>
        <v>0</v>
      </c>
      <c r="O68" s="3">
        <f>IF(AND($C68&gt;=0,$C68&lt;=入力!$R$38),O$1,0)</f>
        <v>0</v>
      </c>
      <c r="P68" s="3">
        <f>IF(AND($C68&gt;=0,$C68&lt;=入力!$R$38),P$1,0)</f>
        <v>0</v>
      </c>
      <c r="Q68" s="3">
        <f>IF(AND($C68&gt;=0,$C68&lt;=入力!$R$38),Q$1,0)</f>
        <v>0</v>
      </c>
      <c r="R68" s="3"/>
      <c r="S68" s="14"/>
      <c r="T68" s="18">
        <f t="shared" si="10"/>
        <v>0</v>
      </c>
      <c r="U68" s="24">
        <f t="shared" si="2"/>
        <v>0</v>
      </c>
      <c r="V68" s="5"/>
      <c r="W68" s="3">
        <f>IF(AND($C68&gt;=10,$C68&lt;=入力!$R$38),W$1,0)</f>
        <v>0</v>
      </c>
      <c r="X68" s="3">
        <f>IFERROR(VLOOKUP($C68,学費計算!$C:$R,学費計算!H$1,0),0)</f>
        <v>0</v>
      </c>
      <c r="Y68" s="3">
        <f>IFERROR(VLOOKUP($C68,学費計算!$C:$R,学費計算!I$1,0),0)</f>
        <v>0</v>
      </c>
      <c r="Z68" s="3">
        <f>IFERROR(VLOOKUP($C68,学費計算!$C:$R,学費計算!J$1,0),0)</f>
        <v>0</v>
      </c>
      <c r="AA68" s="3">
        <f>IFERROR(VLOOKUP($C68,学費計算!$C:$R,学費計算!K$1,0),0)</f>
        <v>0</v>
      </c>
      <c r="AB68" s="14"/>
      <c r="AC68" s="18">
        <f t="shared" si="3"/>
        <v>0</v>
      </c>
      <c r="AD68" s="24">
        <f t="shared" si="4"/>
        <v>0</v>
      </c>
      <c r="AE68" s="5">
        <f>IF(AND($C68&gt;=0,$C68&lt;=入力!$R$36),AE$1,0)</f>
        <v>0</v>
      </c>
      <c r="AF68" s="3"/>
      <c r="AG68" s="3"/>
      <c r="AH68" s="3"/>
      <c r="AI68" s="3"/>
      <c r="AJ68" s="14"/>
      <c r="AK68" s="18">
        <f t="shared" si="7"/>
        <v>0</v>
      </c>
      <c r="AL68" s="24">
        <f t="shared" si="5"/>
        <v>0</v>
      </c>
      <c r="AM68" s="24">
        <f t="shared" si="11"/>
        <v>0</v>
      </c>
    </row>
    <row r="69" spans="2:39" x14ac:dyDescent="0.25">
      <c r="B69" s="5">
        <f t="shared" si="12"/>
        <v>82</v>
      </c>
      <c r="C69" s="3">
        <f t="shared" si="9"/>
        <v>-37</v>
      </c>
      <c r="D69" s="34"/>
      <c r="E69" s="3">
        <f>IF(親1!D69&lt;=833.3+42*親1!AS69,IF(AND(C69&gt;=0,C69&lt;=3),1.5*12,IF(AND(C69&gt;3,C69&lt;=15),1*12,0)),IF(AND(C69&gt;=0,C69&lt;=15),0.5*12,0))</f>
        <v>0</v>
      </c>
      <c r="F69" s="3"/>
      <c r="G69" s="3"/>
      <c r="H69" s="3"/>
      <c r="I69" s="14"/>
      <c r="J69" s="24">
        <f t="shared" si="13"/>
        <v>0</v>
      </c>
      <c r="K69" s="5"/>
      <c r="L69" s="3"/>
      <c r="M69" s="3">
        <f>IF(AND($C69&gt;=0,$C69&lt;=入力!$R$38),M$1,0)</f>
        <v>0</v>
      </c>
      <c r="N69" s="3">
        <f>IF(AND($C69&gt;=0,$C69&lt;=入力!$R$38),N$1,0)</f>
        <v>0</v>
      </c>
      <c r="O69" s="3">
        <f>IF(AND($C69&gt;=0,$C69&lt;=入力!$R$38),O$1,0)</f>
        <v>0</v>
      </c>
      <c r="P69" s="3">
        <f>IF(AND($C69&gt;=0,$C69&lt;=入力!$R$38),P$1,0)</f>
        <v>0</v>
      </c>
      <c r="Q69" s="3">
        <f>IF(AND($C69&gt;=0,$C69&lt;=入力!$R$38),Q$1,0)</f>
        <v>0</v>
      </c>
      <c r="R69" s="3"/>
      <c r="S69" s="14"/>
      <c r="T69" s="18">
        <f t="shared" si="10"/>
        <v>0</v>
      </c>
      <c r="U69" s="24">
        <f t="shared" si="2"/>
        <v>0</v>
      </c>
      <c r="V69" s="5"/>
      <c r="W69" s="3">
        <f>IF(AND($C69&gt;=10,$C69&lt;=入力!$R$38),W$1,0)</f>
        <v>0</v>
      </c>
      <c r="X69" s="3">
        <f>IFERROR(VLOOKUP($C69,学費計算!$C:$R,学費計算!H$1,0),0)</f>
        <v>0</v>
      </c>
      <c r="Y69" s="3">
        <f>IFERROR(VLOOKUP($C69,学費計算!$C:$R,学費計算!I$1,0),0)</f>
        <v>0</v>
      </c>
      <c r="Z69" s="3">
        <f>IFERROR(VLOOKUP($C69,学費計算!$C:$R,学費計算!J$1,0),0)</f>
        <v>0</v>
      </c>
      <c r="AA69" s="3">
        <f>IFERROR(VLOOKUP($C69,学費計算!$C:$R,学費計算!K$1,0),0)</f>
        <v>0</v>
      </c>
      <c r="AB69" s="3"/>
      <c r="AC69" s="27">
        <f t="shared" si="3"/>
        <v>0</v>
      </c>
      <c r="AD69" s="24">
        <f t="shared" si="4"/>
        <v>0</v>
      </c>
      <c r="AE69" s="5">
        <f>IF(AND($C69&gt;=0,$C69&lt;=入力!$R$36),AE$1,0)</f>
        <v>0</v>
      </c>
      <c r="AF69" s="3"/>
      <c r="AG69" s="3"/>
      <c r="AH69" s="3"/>
      <c r="AI69" s="3"/>
      <c r="AJ69" s="14"/>
      <c r="AK69" s="18">
        <f t="shared" si="7"/>
        <v>0</v>
      </c>
      <c r="AL69" s="24">
        <f t="shared" si="5"/>
        <v>0</v>
      </c>
      <c r="AM69" s="24">
        <f t="shared" si="11"/>
        <v>0</v>
      </c>
    </row>
    <row r="70" spans="2:39" ht="15" thickBot="1" x14ac:dyDescent="0.3">
      <c r="B70" s="5">
        <f t="shared" si="12"/>
        <v>83</v>
      </c>
      <c r="C70" s="3">
        <f t="shared" si="9"/>
        <v>-36</v>
      </c>
      <c r="D70" s="34"/>
      <c r="E70" s="3">
        <f>IF(親1!D70&lt;=833.3+42*親1!AS70,IF(AND(C70&gt;=0,C70&lt;=3),1.5*12,IF(AND(C70&gt;3,C70&lt;=15),1*12,0)),IF(AND(C70&gt;=0,C70&lt;=15),0.5*12,0))</f>
        <v>0</v>
      </c>
      <c r="F70" s="3"/>
      <c r="G70" s="3"/>
      <c r="H70" s="3"/>
      <c r="I70" s="14"/>
      <c r="J70" s="24">
        <f t="shared" si="13"/>
        <v>0</v>
      </c>
      <c r="K70" s="5"/>
      <c r="L70" s="3"/>
      <c r="M70" s="3">
        <f>IF(AND($C70&gt;=0,$C70&lt;=入力!$R$38),M$1,0)</f>
        <v>0</v>
      </c>
      <c r="N70" s="3">
        <f>IF(AND($C70&gt;=0,$C70&lt;=入力!$R$38),N$1,0)</f>
        <v>0</v>
      </c>
      <c r="O70" s="3">
        <f>IF(AND($C70&gt;=0,$C70&lt;=入力!$R$38),O$1,0)</f>
        <v>0</v>
      </c>
      <c r="P70" s="3">
        <f>IF(AND($C70&gt;=0,$C70&lt;=入力!$R$38),P$1,0)</f>
        <v>0</v>
      </c>
      <c r="Q70" s="3">
        <f>IF(AND($C70&gt;=0,$C70&lt;=入力!$R$38),Q$1,0)</f>
        <v>0</v>
      </c>
      <c r="R70" s="3"/>
      <c r="S70" s="14"/>
      <c r="T70" s="18">
        <f t="shared" si="10"/>
        <v>0</v>
      </c>
      <c r="U70" s="24">
        <f t="shared" ref="U70" si="14">J70-T70</f>
        <v>0</v>
      </c>
      <c r="V70" s="5"/>
      <c r="W70" s="3">
        <f>IF(AND($C70&gt;=10,$C70&lt;=入力!$R$38),W$1,0)</f>
        <v>0</v>
      </c>
      <c r="X70" s="3">
        <f>IFERROR(VLOOKUP($C70,学費計算!$C:$R,学費計算!H$1,0),0)</f>
        <v>0</v>
      </c>
      <c r="Y70" s="3">
        <f>IFERROR(VLOOKUP($C70,学費計算!$C:$R,学費計算!I$1,0),0)</f>
        <v>0</v>
      </c>
      <c r="Z70" s="3">
        <f>IFERROR(VLOOKUP($C70,学費計算!$C:$R,学費計算!J$1,0),0)</f>
        <v>0</v>
      </c>
      <c r="AA70" s="3">
        <f>IFERROR(VLOOKUP($C70,学費計算!$C:$R,学費計算!K$1,0),0)</f>
        <v>0</v>
      </c>
      <c r="AB70" s="3"/>
      <c r="AC70" s="27">
        <f t="shared" ref="AC70" si="15">SUM(V70:AB70)</f>
        <v>0</v>
      </c>
      <c r="AD70" s="24">
        <f t="shared" ref="AD70" si="16">U70-AC70</f>
        <v>0</v>
      </c>
      <c r="AE70" s="5">
        <f>IF(AND($C70&gt;=0,$C70&lt;=入力!$R$36),AE$1,0)</f>
        <v>0</v>
      </c>
      <c r="AF70" s="3"/>
      <c r="AG70" s="3"/>
      <c r="AH70" s="3"/>
      <c r="AI70" s="3"/>
      <c r="AJ70" s="14"/>
      <c r="AK70" s="18">
        <f t="shared" si="7"/>
        <v>0</v>
      </c>
      <c r="AL70" s="24">
        <f t="shared" ref="AL70" si="17">AD70-AK70</f>
        <v>0</v>
      </c>
      <c r="AM70" s="25">
        <f t="shared" ref="AM70" si="18">AL70+AM69</f>
        <v>0</v>
      </c>
    </row>
    <row r="71" spans="2:39" ht="15" thickTop="1" x14ac:dyDescent="0.25">
      <c r="B71" s="35"/>
      <c r="C71" s="2"/>
      <c r="D71" s="36">
        <f t="shared" ref="D71:Q71" si="19">SUM(D6:D70)</f>
        <v>0</v>
      </c>
      <c r="E71" s="2">
        <f t="shared" si="19"/>
        <v>0</v>
      </c>
      <c r="F71" s="2">
        <f t="shared" si="19"/>
        <v>0</v>
      </c>
      <c r="G71" s="2"/>
      <c r="H71" s="2">
        <f t="shared" si="19"/>
        <v>0</v>
      </c>
      <c r="I71" s="37">
        <f t="shared" si="19"/>
        <v>0</v>
      </c>
      <c r="J71" s="38">
        <f t="shared" si="19"/>
        <v>0</v>
      </c>
      <c r="K71" s="35">
        <f t="shared" si="19"/>
        <v>0</v>
      </c>
      <c r="L71" s="2">
        <f t="shared" si="19"/>
        <v>0</v>
      </c>
      <c r="M71" s="2">
        <f t="shared" si="19"/>
        <v>0</v>
      </c>
      <c r="N71" s="2">
        <f t="shared" si="19"/>
        <v>0</v>
      </c>
      <c r="O71" s="2">
        <f t="shared" si="19"/>
        <v>0</v>
      </c>
      <c r="P71" s="2">
        <f t="shared" si="19"/>
        <v>0</v>
      </c>
      <c r="Q71" s="2">
        <f t="shared" si="19"/>
        <v>0</v>
      </c>
      <c r="R71" s="2"/>
      <c r="S71" s="2">
        <f t="shared" ref="S71:AK71" si="20">SUM(S6:S70)</f>
        <v>0</v>
      </c>
      <c r="T71" s="39">
        <f t="shared" si="20"/>
        <v>0</v>
      </c>
      <c r="U71" s="38">
        <f t="shared" si="20"/>
        <v>0</v>
      </c>
      <c r="V71" s="2">
        <f t="shared" si="20"/>
        <v>0</v>
      </c>
      <c r="W71" s="2">
        <f t="shared" si="20"/>
        <v>0</v>
      </c>
      <c r="X71" s="2">
        <f t="shared" si="20"/>
        <v>0</v>
      </c>
      <c r="Y71" s="2">
        <f t="shared" si="20"/>
        <v>0</v>
      </c>
      <c r="Z71" s="2">
        <f t="shared" si="20"/>
        <v>0</v>
      </c>
      <c r="AA71" s="2">
        <f t="shared" si="20"/>
        <v>0</v>
      </c>
      <c r="AB71" s="2">
        <f t="shared" si="20"/>
        <v>0</v>
      </c>
      <c r="AC71" s="39">
        <f t="shared" si="20"/>
        <v>0</v>
      </c>
      <c r="AD71" s="38">
        <f t="shared" si="20"/>
        <v>0</v>
      </c>
      <c r="AE71" s="35">
        <f t="shared" si="20"/>
        <v>0</v>
      </c>
      <c r="AF71" s="2">
        <f t="shared" si="20"/>
        <v>0</v>
      </c>
      <c r="AG71" s="2">
        <f t="shared" si="20"/>
        <v>0</v>
      </c>
      <c r="AH71" s="2">
        <f t="shared" si="20"/>
        <v>0</v>
      </c>
      <c r="AI71" s="2">
        <f t="shared" si="20"/>
        <v>0</v>
      </c>
      <c r="AJ71" s="37">
        <f t="shared" si="20"/>
        <v>0</v>
      </c>
      <c r="AK71" s="40">
        <f t="shared" si="20"/>
        <v>0</v>
      </c>
      <c r="AL71" s="38">
        <f>SUM(AL5:AL70)</f>
        <v>0</v>
      </c>
      <c r="AM71"/>
    </row>
    <row r="72" spans="2:39" x14ac:dyDescent="0.25">
      <c r="AM72"/>
    </row>
    <row r="73" spans="2:39" x14ac:dyDescent="0.25">
      <c r="AM73"/>
    </row>
    <row r="74" spans="2:39" x14ac:dyDescent="0.25">
      <c r="Z74" s="1">
        <f>SUMIF($C$6:$C$70,"&gt;=18",Z6:Z70)</f>
        <v>0</v>
      </c>
      <c r="AA74" s="1">
        <f>SUMIF($C$6:$C$70,"&gt;=18",AA6:AA70)</f>
        <v>0</v>
      </c>
      <c r="AM74"/>
    </row>
  </sheetData>
  <phoneticPr fontId="2"/>
  <pageMargins left="0.7" right="0.7" top="0.75" bottom="0.75" header="0.3" footer="0.3"/>
  <pageSetup paperSize="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00"/>
  </sheetPr>
  <dimension ref="B1:AQ74"/>
  <sheetViews>
    <sheetView zoomScale="55" zoomScaleNormal="55" workbookViewId="0">
      <pane xSplit="3" ySplit="4" topLeftCell="D5" activePane="bottomRight" state="frozen"/>
      <selection activeCell="N63" sqref="N63"/>
      <selection pane="topRight" activeCell="N63" sqref="N63"/>
      <selection pane="bottomLeft" activeCell="N63" sqref="N63"/>
      <selection pane="bottomRight" activeCell="X86" sqref="X86"/>
    </sheetView>
  </sheetViews>
  <sheetFormatPr defaultRowHeight="14.25" x14ac:dyDescent="0.25"/>
  <cols>
    <col min="1" max="1" width="4.375" customWidth="1"/>
    <col min="2" max="2" width="4" style="1" bestFit="1" customWidth="1"/>
    <col min="3" max="3" width="5.125" style="1" bestFit="1" customWidth="1"/>
    <col min="4" max="5" width="7.125" style="1" bestFit="1" customWidth="1"/>
    <col min="6" max="7" width="6.25" style="1" customWidth="1"/>
    <col min="8" max="9" width="3.125" style="1" bestFit="1" customWidth="1"/>
    <col min="10" max="10" width="7.125" style="1" bestFit="1" customWidth="1"/>
    <col min="11" max="11" width="6.25" style="1" bestFit="1" customWidth="1"/>
    <col min="12" max="12" width="5.125" style="1" bestFit="1" customWidth="1"/>
    <col min="13" max="14" width="6.25" style="1" bestFit="1" customWidth="1"/>
    <col min="15" max="17" width="5.125" style="1" bestFit="1" customWidth="1"/>
    <col min="18" max="18" width="6.125" style="1" customWidth="1"/>
    <col min="19" max="19" width="5.5" style="1" customWidth="1"/>
    <col min="20" max="20" width="7.125" style="1" bestFit="1" customWidth="1"/>
    <col min="21" max="21" width="6.125" style="1" customWidth="1"/>
    <col min="22" max="24" width="5.125" style="1" bestFit="1" customWidth="1"/>
    <col min="25" max="25" width="6.25" style="1" bestFit="1" customWidth="1"/>
    <col min="26" max="28" width="3.125" style="1" bestFit="1" customWidth="1"/>
    <col min="29" max="29" width="6.875" style="1" bestFit="1" customWidth="1"/>
    <col min="30" max="30" width="9" style="1" bestFit="1" customWidth="1"/>
    <col min="31" max="31" width="7" style="1" customWidth="1"/>
    <col min="32" max="32" width="6.875" style="1" bestFit="1" customWidth="1"/>
    <col min="33" max="33" width="4.375" style="1" bestFit="1" customWidth="1"/>
    <col min="34" max="34" width="6.875" style="1" bestFit="1" customWidth="1"/>
    <col min="35" max="36" width="3.125" style="1" bestFit="1" customWidth="1"/>
    <col min="37" max="37" width="6.875" style="1" bestFit="1" customWidth="1"/>
    <col min="38" max="38" width="7.625" style="1" bestFit="1" customWidth="1"/>
    <col min="39" max="39" width="8.5" style="1" bestFit="1" customWidth="1"/>
  </cols>
  <sheetData>
    <row r="1" spans="2:43" x14ac:dyDescent="0.25">
      <c r="M1" s="3">
        <f>IF($C$30&gt;0,入力!AD13*12*(1+入力!$AD$16),0)</f>
        <v>0</v>
      </c>
      <c r="N1" s="3">
        <f>IF($C$30&gt;0,入力!AE13*12*(1+入力!$AD$16),0)</f>
        <v>0</v>
      </c>
      <c r="O1" s="3">
        <f>IF($C$30&gt;0,入力!AF13*12*(1+入力!$AD$16),0)</f>
        <v>0</v>
      </c>
      <c r="P1" s="3">
        <f>IF($C$30&gt;0,入力!AG13*12*(1+入力!$AD$16),0)</f>
        <v>0</v>
      </c>
      <c r="Q1" s="3">
        <f>IF($C$30&gt;0,入力!AH13*12*(1+入力!$AD$16),0)</f>
        <v>0</v>
      </c>
      <c r="W1" s="3">
        <f>IF($C$30&gt;0,入力!AJ13*12,0)</f>
        <v>0</v>
      </c>
      <c r="AE1" s="1">
        <f>入力!P35*12</f>
        <v>6</v>
      </c>
    </row>
    <row r="2" spans="2:43" s="10" customFormat="1" x14ac:dyDescent="0.25">
      <c r="B2" s="41"/>
      <c r="C2" s="42"/>
      <c r="D2" s="31"/>
      <c r="E2" s="20"/>
      <c r="F2" s="20"/>
      <c r="G2" s="20"/>
      <c r="H2" s="20"/>
      <c r="I2" s="20"/>
      <c r="J2" s="21" t="s">
        <v>15</v>
      </c>
      <c r="K2" s="19"/>
      <c r="L2" s="20"/>
      <c r="M2" s="20"/>
      <c r="N2" s="20"/>
      <c r="O2" s="20"/>
      <c r="P2" s="20"/>
      <c r="Q2" s="20"/>
      <c r="R2" s="20"/>
      <c r="S2" s="20"/>
      <c r="T2" s="21"/>
      <c r="U2" s="21" t="s">
        <v>6</v>
      </c>
      <c r="V2" s="20"/>
      <c r="W2" s="20"/>
      <c r="X2" s="20"/>
      <c r="Y2" s="20"/>
      <c r="Z2" s="20"/>
      <c r="AA2" s="20"/>
      <c r="AB2" s="20"/>
      <c r="AC2" s="20"/>
      <c r="AD2" s="21" t="s">
        <v>6</v>
      </c>
      <c r="AE2" s="20"/>
      <c r="AF2" s="20"/>
      <c r="AG2" s="20"/>
      <c r="AH2" s="20"/>
      <c r="AI2" s="20"/>
      <c r="AJ2" s="20"/>
      <c r="AK2" s="20"/>
      <c r="AL2" s="21" t="s">
        <v>7</v>
      </c>
      <c r="AM2" s="21" t="s">
        <v>8</v>
      </c>
    </row>
    <row r="3" spans="2:43" s="10" customFormat="1" x14ac:dyDescent="0.25">
      <c r="B3" s="43"/>
      <c r="C3" s="44"/>
      <c r="D3" s="32"/>
      <c r="E3" s="28"/>
      <c r="F3" s="28"/>
      <c r="G3" s="28"/>
      <c r="H3" s="28"/>
      <c r="I3" s="29"/>
      <c r="J3" s="22"/>
      <c r="K3" s="15"/>
      <c r="L3" s="16"/>
      <c r="M3" s="16"/>
      <c r="N3" s="16"/>
      <c r="O3" s="16"/>
      <c r="P3" s="16"/>
      <c r="Q3" s="16"/>
      <c r="R3" s="16"/>
      <c r="S3" s="16"/>
      <c r="T3" s="26" t="s">
        <v>38</v>
      </c>
      <c r="U3" s="22"/>
      <c r="V3" s="16"/>
      <c r="W3" s="16"/>
      <c r="X3" s="16"/>
      <c r="Y3" s="16"/>
      <c r="Z3" s="16"/>
      <c r="AA3" s="16"/>
      <c r="AB3" s="16"/>
      <c r="AC3" s="26" t="s">
        <v>37</v>
      </c>
      <c r="AD3" s="22"/>
      <c r="AE3" s="16"/>
      <c r="AF3" s="16"/>
      <c r="AG3" s="16"/>
      <c r="AH3" s="16"/>
      <c r="AI3" s="16"/>
      <c r="AJ3" s="16"/>
      <c r="AK3" s="26" t="s">
        <v>82</v>
      </c>
      <c r="AL3" s="22"/>
      <c r="AM3" s="22"/>
    </row>
    <row r="4" spans="2:43" s="4" customFormat="1" ht="54.75" thickBot="1" x14ac:dyDescent="0.3">
      <c r="B4" s="7" t="s">
        <v>16</v>
      </c>
      <c r="C4" s="6" t="s">
        <v>17</v>
      </c>
      <c r="D4" s="33" t="s">
        <v>33</v>
      </c>
      <c r="E4" s="62" t="s">
        <v>34</v>
      </c>
      <c r="F4" s="62" t="s">
        <v>165</v>
      </c>
      <c r="G4" s="62" t="s">
        <v>220</v>
      </c>
      <c r="H4" s="62" t="s">
        <v>50</v>
      </c>
      <c r="I4" s="64"/>
      <c r="J4" s="65"/>
      <c r="K4" s="191" t="s">
        <v>252</v>
      </c>
      <c r="L4" s="192" t="s">
        <v>284</v>
      </c>
      <c r="M4" s="67" t="s">
        <v>20</v>
      </c>
      <c r="N4" s="67" t="s">
        <v>21</v>
      </c>
      <c r="O4" s="67" t="s">
        <v>22</v>
      </c>
      <c r="P4" s="67" t="s">
        <v>23</v>
      </c>
      <c r="Q4" s="67" t="s">
        <v>24</v>
      </c>
      <c r="R4" s="67" t="s">
        <v>42</v>
      </c>
      <c r="S4" s="68"/>
      <c r="T4" s="69"/>
      <c r="U4" s="65"/>
      <c r="V4" s="66" t="s">
        <v>27</v>
      </c>
      <c r="W4" s="67" t="s">
        <v>28</v>
      </c>
      <c r="X4" s="67" t="s">
        <v>169</v>
      </c>
      <c r="Y4" s="67" t="s">
        <v>168</v>
      </c>
      <c r="Z4" s="67" t="s">
        <v>171</v>
      </c>
      <c r="AA4" s="67" t="s">
        <v>444</v>
      </c>
      <c r="AB4" s="68"/>
      <c r="AC4" s="69"/>
      <c r="AD4" s="65"/>
      <c r="AE4" s="11" t="s">
        <v>162</v>
      </c>
      <c r="AF4" s="12" t="s">
        <v>29</v>
      </c>
      <c r="AG4" s="12" t="s">
        <v>30</v>
      </c>
      <c r="AH4" s="12" t="s">
        <v>31</v>
      </c>
      <c r="AI4" s="12" t="s">
        <v>214</v>
      </c>
      <c r="AJ4" s="13" t="s">
        <v>274</v>
      </c>
      <c r="AK4" s="17" t="s">
        <v>35</v>
      </c>
      <c r="AL4" s="23"/>
      <c r="AM4" s="23"/>
    </row>
    <row r="5" spans="2:43" s="4" customFormat="1" ht="15" thickTop="1" x14ac:dyDescent="0.25">
      <c r="B5" s="169" t="s">
        <v>218</v>
      </c>
      <c r="C5" s="165"/>
      <c r="D5" s="170"/>
      <c r="E5" s="165"/>
      <c r="F5" s="165"/>
      <c r="G5" s="165"/>
      <c r="H5" s="165"/>
      <c r="I5" s="166"/>
      <c r="J5" s="168"/>
      <c r="K5" s="164"/>
      <c r="L5" s="165"/>
      <c r="M5" s="165"/>
      <c r="N5" s="165"/>
      <c r="O5" s="165"/>
      <c r="P5" s="165"/>
      <c r="Q5" s="165"/>
      <c r="R5" s="165"/>
      <c r="S5" s="166"/>
      <c r="T5" s="167"/>
      <c r="U5" s="168"/>
      <c r="V5" s="164"/>
      <c r="W5" s="165"/>
      <c r="X5" s="165"/>
      <c r="Y5" s="165"/>
      <c r="Z5" s="165"/>
      <c r="AA5" s="165"/>
      <c r="AB5" s="166"/>
      <c r="AC5" s="167"/>
      <c r="AD5" s="168"/>
      <c r="AE5" s="164"/>
      <c r="AF5" s="165"/>
      <c r="AG5" s="165"/>
      <c r="AH5" s="165"/>
      <c r="AI5" s="165"/>
      <c r="AJ5" s="166"/>
      <c r="AK5" s="167"/>
      <c r="AL5" s="168"/>
      <c r="AM5" s="168"/>
      <c r="AN5" s="171"/>
      <c r="AO5" s="171"/>
      <c r="AP5" s="171"/>
      <c r="AQ5" s="171"/>
    </row>
    <row r="6" spans="2:43" x14ac:dyDescent="0.25">
      <c r="B6" s="5">
        <v>19</v>
      </c>
      <c r="C6" s="3">
        <f>IF(入力!$S$11="",-100,入力!$S$11)</f>
        <v>-100</v>
      </c>
      <c r="D6" s="34"/>
      <c r="E6" s="3">
        <f>IF(親1!D6&lt;=833.3+42*親1!AS6,IF(AND(C6&gt;=0,C6&lt;=3),1.5*12,IF(AND(C6&gt;3,C6&lt;=15),1*12,0)),IF(AND(C6&gt;=0,C6&lt;=15),0.5*12,0))</f>
        <v>0</v>
      </c>
      <c r="F6" s="3"/>
      <c r="G6" s="3"/>
      <c r="H6" s="3"/>
      <c r="I6" s="14"/>
      <c r="J6" s="24">
        <f t="shared" ref="J6:J39" si="0">SUM(E6:I6)</f>
        <v>0</v>
      </c>
      <c r="K6" s="5"/>
      <c r="L6" s="3"/>
      <c r="M6" s="3">
        <f>IF(AND($C6&gt;=0,$C6&lt;=入力!$S$38),M$1,0)</f>
        <v>0</v>
      </c>
      <c r="N6" s="3">
        <f>IF(AND($C6&gt;=0,$C6&lt;=入力!$S$38),N$1,0)</f>
        <v>0</v>
      </c>
      <c r="O6" s="3">
        <f>IF(AND($C6&gt;=0,$C6&lt;=入力!$S$38),O$1,0)</f>
        <v>0</v>
      </c>
      <c r="P6" s="3">
        <f>IF(AND($C6&gt;=0,$C6&lt;=入力!$S$38),P$1,0)</f>
        <v>0</v>
      </c>
      <c r="Q6" s="3">
        <f>IF(AND($C6&gt;=0,$C6&lt;=入力!$S$38),Q$1,0)</f>
        <v>0</v>
      </c>
      <c r="R6" s="3"/>
      <c r="S6" s="14"/>
      <c r="T6" s="18">
        <f t="shared" ref="T6:T37" si="1">SUM(K6:S6)</f>
        <v>0</v>
      </c>
      <c r="U6" s="24">
        <f t="shared" ref="U6:U69" si="2">J6-T6</f>
        <v>0</v>
      </c>
      <c r="V6" s="5"/>
      <c r="W6" s="3">
        <f>IF(AND($C6&gt;=10,$C6&lt;=入力!$S$38),W$1,0)</f>
        <v>0</v>
      </c>
      <c r="X6" s="3">
        <f>IFERROR(VLOOKUP($C6,学費計算!$C:$R,学費計算!H$1,0),0)</f>
        <v>0</v>
      </c>
      <c r="Y6" s="3">
        <f>IFERROR(VLOOKUP($C6,学費計算!$C:$R,学費計算!I$1,0),0)</f>
        <v>0</v>
      </c>
      <c r="Z6" s="3">
        <f>IFERROR(VLOOKUP($C6,学費計算!$C:$R,学費計算!J$1,0),0)</f>
        <v>0</v>
      </c>
      <c r="AA6" s="3">
        <f>IFERROR(VLOOKUP($C6,学費計算!$C:$R,学費計算!K$1,0),0)</f>
        <v>0</v>
      </c>
      <c r="AB6" s="14"/>
      <c r="AC6" s="18">
        <f t="shared" ref="AC6:AC69" si="3">SUM(V6:AB6)</f>
        <v>0</v>
      </c>
      <c r="AD6" s="24">
        <f t="shared" ref="AD6:AD69" si="4">U6-AC6</f>
        <v>0</v>
      </c>
      <c r="AE6" s="5">
        <f>IF(AND($C6&gt;=0,$C6&lt;=入力!$S$36),AE$1,0)</f>
        <v>0</v>
      </c>
      <c r="AF6" s="3"/>
      <c r="AG6" s="3"/>
      <c r="AH6" s="3"/>
      <c r="AI6" s="3"/>
      <c r="AJ6" s="14"/>
      <c r="AK6" s="18">
        <f>SUM(AE6:AJ6)</f>
        <v>0</v>
      </c>
      <c r="AL6" s="24">
        <f t="shared" ref="AL6:AL69" si="5">AD6-AK6</f>
        <v>0</v>
      </c>
      <c r="AM6" s="24">
        <f t="shared" ref="AM6:AM37" si="6">AL6+AM5</f>
        <v>0</v>
      </c>
    </row>
    <row r="7" spans="2:43" x14ac:dyDescent="0.25">
      <c r="B7" s="5">
        <f t="shared" ref="B7:B38" si="7">B6+1</f>
        <v>20</v>
      </c>
      <c r="C7" s="3">
        <f t="shared" ref="C7:C38" si="8">C6+1</f>
        <v>-99</v>
      </c>
      <c r="D7" s="34"/>
      <c r="E7" s="3">
        <f>IF(親1!D7&lt;=833.3+42*親1!AS7,IF(AND(C7&gt;=0,C7&lt;=3),1.5*12,IF(AND(C7&gt;3,C7&lt;=15),1*12,0)),IF(AND(C7&gt;=0,C7&lt;=15),0.5*12,0))</f>
        <v>0</v>
      </c>
      <c r="F7" s="3"/>
      <c r="G7" s="3"/>
      <c r="H7" s="3"/>
      <c r="I7" s="14"/>
      <c r="J7" s="24">
        <f t="shared" si="0"/>
        <v>0</v>
      </c>
      <c r="K7" s="5"/>
      <c r="L7" s="3"/>
      <c r="M7" s="3">
        <f>IF(AND($C7&gt;=0,$C7&lt;=入力!$S$38),M$1,0)</f>
        <v>0</v>
      </c>
      <c r="N7" s="3">
        <f>IF(AND($C7&gt;=0,$C7&lt;=入力!$S$38),N$1,0)</f>
        <v>0</v>
      </c>
      <c r="O7" s="3">
        <f>IF(AND($C7&gt;=0,$C7&lt;=入力!$S$38),O$1,0)</f>
        <v>0</v>
      </c>
      <c r="P7" s="3">
        <f>IF(AND($C7&gt;=0,$C7&lt;=入力!$S$38),P$1,0)</f>
        <v>0</v>
      </c>
      <c r="Q7" s="3">
        <f>IF(AND($C7&gt;=0,$C7&lt;=入力!$S$38),Q$1,0)</f>
        <v>0</v>
      </c>
      <c r="R7" s="3"/>
      <c r="S7" s="14"/>
      <c r="T7" s="18">
        <f t="shared" si="1"/>
        <v>0</v>
      </c>
      <c r="U7" s="24">
        <f t="shared" si="2"/>
        <v>0</v>
      </c>
      <c r="V7" s="5"/>
      <c r="W7" s="3">
        <f>IF(AND($C7&gt;=10,$C7&lt;=入力!$S$38),W$1,0)</f>
        <v>0</v>
      </c>
      <c r="X7" s="3">
        <f>IFERROR(VLOOKUP($C7,学費計算!$C:$R,学費計算!H$1,0),0)</f>
        <v>0</v>
      </c>
      <c r="Y7" s="3">
        <f>IFERROR(VLOOKUP($C7,学費計算!$C:$R,学費計算!I$1,0),0)</f>
        <v>0</v>
      </c>
      <c r="Z7" s="3">
        <f>IFERROR(VLOOKUP($C7,学費計算!$C:$R,学費計算!J$1,0),0)</f>
        <v>0</v>
      </c>
      <c r="AA7" s="3">
        <f>IFERROR(VLOOKUP($C7,学費計算!$C:$R,学費計算!K$1,0),0)</f>
        <v>0</v>
      </c>
      <c r="AB7" s="14"/>
      <c r="AC7" s="18">
        <f t="shared" si="3"/>
        <v>0</v>
      </c>
      <c r="AD7" s="24">
        <f t="shared" si="4"/>
        <v>0</v>
      </c>
      <c r="AE7" s="5">
        <f>IF(AND($C7&gt;=0,$C7&lt;=入力!$S$36),AE$1,0)</f>
        <v>0</v>
      </c>
      <c r="AF7" s="3"/>
      <c r="AG7" s="3"/>
      <c r="AH7" s="3"/>
      <c r="AI7" s="3"/>
      <c r="AJ7" s="14"/>
      <c r="AK7" s="18">
        <f t="shared" ref="AK7:AK70" si="9">SUM(AE7:AJ7)</f>
        <v>0</v>
      </c>
      <c r="AL7" s="24">
        <f t="shared" si="5"/>
        <v>0</v>
      </c>
      <c r="AM7" s="24">
        <f t="shared" si="6"/>
        <v>0</v>
      </c>
    </row>
    <row r="8" spans="2:43" x14ac:dyDescent="0.25">
      <c r="B8" s="5">
        <f t="shared" si="7"/>
        <v>21</v>
      </c>
      <c r="C8" s="3">
        <f t="shared" si="8"/>
        <v>-98</v>
      </c>
      <c r="D8" s="34"/>
      <c r="E8" s="3">
        <f>IF(親1!D8&lt;=833.3+42*親1!AS8,IF(AND(C8&gt;=0,C8&lt;=3),1.5*12,IF(AND(C8&gt;3,C8&lt;=15),1*12,0)),IF(AND(C8&gt;=0,C8&lt;=15),0.5*12,0))</f>
        <v>0</v>
      </c>
      <c r="F8" s="3"/>
      <c r="G8" s="3"/>
      <c r="H8" s="3"/>
      <c r="I8" s="14"/>
      <c r="J8" s="24">
        <f t="shared" si="0"/>
        <v>0</v>
      </c>
      <c r="K8" s="5"/>
      <c r="L8" s="3"/>
      <c r="M8" s="3">
        <f>IF(AND($C8&gt;=0,$C8&lt;=入力!$S$38),M$1,0)</f>
        <v>0</v>
      </c>
      <c r="N8" s="3">
        <f>IF(AND($C8&gt;=0,$C8&lt;=入力!$S$38),N$1,0)</f>
        <v>0</v>
      </c>
      <c r="O8" s="3">
        <f>IF(AND($C8&gt;=0,$C8&lt;=入力!$S$38),O$1,0)</f>
        <v>0</v>
      </c>
      <c r="P8" s="3">
        <f>IF(AND($C8&gt;=0,$C8&lt;=入力!$S$38),P$1,0)</f>
        <v>0</v>
      </c>
      <c r="Q8" s="3">
        <f>IF(AND($C8&gt;=0,$C8&lt;=入力!$S$38),Q$1,0)</f>
        <v>0</v>
      </c>
      <c r="R8" s="3"/>
      <c r="S8" s="14"/>
      <c r="T8" s="18">
        <f t="shared" si="1"/>
        <v>0</v>
      </c>
      <c r="U8" s="24">
        <f t="shared" si="2"/>
        <v>0</v>
      </c>
      <c r="V8" s="5"/>
      <c r="W8" s="3">
        <f>IF(AND($C8&gt;=10,$C8&lt;=入力!$S$38),W$1,0)</f>
        <v>0</v>
      </c>
      <c r="X8" s="3">
        <f>IFERROR(VLOOKUP($C8,学費計算!$C:$R,学費計算!H$1,0),0)</f>
        <v>0</v>
      </c>
      <c r="Y8" s="3">
        <f>IFERROR(VLOOKUP($C8,学費計算!$C:$R,学費計算!I$1,0),0)</f>
        <v>0</v>
      </c>
      <c r="Z8" s="3">
        <f>IFERROR(VLOOKUP($C8,学費計算!$C:$R,学費計算!J$1,0),0)</f>
        <v>0</v>
      </c>
      <c r="AA8" s="3">
        <f>IFERROR(VLOOKUP($C8,学費計算!$C:$R,学費計算!K$1,0),0)</f>
        <v>0</v>
      </c>
      <c r="AB8" s="14"/>
      <c r="AC8" s="18">
        <f t="shared" si="3"/>
        <v>0</v>
      </c>
      <c r="AD8" s="24">
        <f t="shared" si="4"/>
        <v>0</v>
      </c>
      <c r="AE8" s="5">
        <f>IF(AND($C8&gt;=0,$C8&lt;=入力!$S$36),AE$1,0)</f>
        <v>0</v>
      </c>
      <c r="AF8" s="3"/>
      <c r="AG8" s="3"/>
      <c r="AH8" s="3"/>
      <c r="AI8" s="3"/>
      <c r="AJ8" s="14"/>
      <c r="AK8" s="18">
        <f t="shared" si="9"/>
        <v>0</v>
      </c>
      <c r="AL8" s="24">
        <f t="shared" si="5"/>
        <v>0</v>
      </c>
      <c r="AM8" s="24">
        <f t="shared" si="6"/>
        <v>0</v>
      </c>
    </row>
    <row r="9" spans="2:43" x14ac:dyDescent="0.25">
      <c r="B9" s="5">
        <f t="shared" si="7"/>
        <v>22</v>
      </c>
      <c r="C9" s="3">
        <f t="shared" si="8"/>
        <v>-97</v>
      </c>
      <c r="D9" s="34"/>
      <c r="E9" s="3">
        <f>IF(親1!D9&lt;=833.3+42*親1!AS9,IF(AND(C9&gt;=0,C9&lt;=3),1.5*12,IF(AND(C9&gt;3,C9&lt;=15),1*12,0)),IF(AND(C9&gt;=0,C9&lt;=15),0.5*12,0))</f>
        <v>0</v>
      </c>
      <c r="F9" s="3"/>
      <c r="G9" s="3"/>
      <c r="H9" s="3"/>
      <c r="I9" s="14"/>
      <c r="J9" s="24">
        <f t="shared" si="0"/>
        <v>0</v>
      </c>
      <c r="K9" s="5"/>
      <c r="L9" s="3"/>
      <c r="M9" s="3">
        <f>IF(AND($C9&gt;=0,$C9&lt;=入力!$S$38),M$1,0)</f>
        <v>0</v>
      </c>
      <c r="N9" s="3">
        <f>IF(AND($C9&gt;=0,$C9&lt;=入力!$S$38),N$1,0)</f>
        <v>0</v>
      </c>
      <c r="O9" s="3">
        <f>IF(AND($C9&gt;=0,$C9&lt;=入力!$S$38),O$1,0)</f>
        <v>0</v>
      </c>
      <c r="P9" s="3">
        <f>IF(AND($C9&gt;=0,$C9&lt;=入力!$S$38),P$1,0)</f>
        <v>0</v>
      </c>
      <c r="Q9" s="3">
        <f>IF(AND($C9&gt;=0,$C9&lt;=入力!$S$38),Q$1,0)</f>
        <v>0</v>
      </c>
      <c r="R9" s="3"/>
      <c r="S9" s="14"/>
      <c r="T9" s="18">
        <f t="shared" si="1"/>
        <v>0</v>
      </c>
      <c r="U9" s="24">
        <f t="shared" si="2"/>
        <v>0</v>
      </c>
      <c r="V9" s="5"/>
      <c r="W9" s="3">
        <f>IF(AND($C9&gt;=10,$C9&lt;=入力!$S$38),W$1,0)</f>
        <v>0</v>
      </c>
      <c r="X9" s="3">
        <f>IFERROR(VLOOKUP($C9,学費計算!$C:$R,学費計算!H$1,0),0)</f>
        <v>0</v>
      </c>
      <c r="Y9" s="3">
        <f>IFERROR(VLOOKUP($C9,学費計算!$C:$R,学費計算!I$1,0),0)</f>
        <v>0</v>
      </c>
      <c r="Z9" s="3">
        <f>IFERROR(VLOOKUP($C9,学費計算!$C:$R,学費計算!J$1,0),0)</f>
        <v>0</v>
      </c>
      <c r="AA9" s="3">
        <f>IFERROR(VLOOKUP($C9,学費計算!$C:$R,学費計算!K$1,0),0)</f>
        <v>0</v>
      </c>
      <c r="AB9" s="14"/>
      <c r="AC9" s="18">
        <f t="shared" si="3"/>
        <v>0</v>
      </c>
      <c r="AD9" s="24">
        <f t="shared" si="4"/>
        <v>0</v>
      </c>
      <c r="AE9" s="5">
        <f>IF(AND($C9&gt;=0,$C9&lt;=入力!$S$36),AE$1,0)</f>
        <v>0</v>
      </c>
      <c r="AF9" s="3"/>
      <c r="AG9" s="3"/>
      <c r="AH9" s="3"/>
      <c r="AI9" s="3"/>
      <c r="AJ9" s="14"/>
      <c r="AK9" s="18">
        <f t="shared" si="9"/>
        <v>0</v>
      </c>
      <c r="AL9" s="24">
        <f t="shared" si="5"/>
        <v>0</v>
      </c>
      <c r="AM9" s="24">
        <f t="shared" si="6"/>
        <v>0</v>
      </c>
    </row>
    <row r="10" spans="2:43" x14ac:dyDescent="0.25">
      <c r="B10" s="5">
        <f t="shared" si="7"/>
        <v>23</v>
      </c>
      <c r="C10" s="3">
        <f t="shared" si="8"/>
        <v>-96</v>
      </c>
      <c r="D10" s="34"/>
      <c r="E10" s="3">
        <f>IF(親1!D10&lt;=833.3+42*親1!AS10,IF(AND(C10&gt;=0,C10&lt;=3),1.5*12,IF(AND(C10&gt;3,C10&lt;=15),1*12,0)),IF(AND(C10&gt;=0,C10&lt;=15),0.5*12,0))</f>
        <v>0</v>
      </c>
      <c r="F10" s="3"/>
      <c r="G10" s="3"/>
      <c r="H10" s="3"/>
      <c r="I10" s="14"/>
      <c r="J10" s="24">
        <f t="shared" si="0"/>
        <v>0</v>
      </c>
      <c r="K10" s="5"/>
      <c r="L10" s="3"/>
      <c r="M10" s="3">
        <f>IF(AND($C10&gt;=0,$C10&lt;=入力!$S$38),M$1,0)</f>
        <v>0</v>
      </c>
      <c r="N10" s="3">
        <f>IF(AND($C10&gt;=0,$C10&lt;=入力!$S$38),N$1,0)</f>
        <v>0</v>
      </c>
      <c r="O10" s="3">
        <f>IF(AND($C10&gt;=0,$C10&lt;=入力!$S$38),O$1,0)</f>
        <v>0</v>
      </c>
      <c r="P10" s="3">
        <f>IF(AND($C10&gt;=0,$C10&lt;=入力!$S$38),P$1,0)</f>
        <v>0</v>
      </c>
      <c r="Q10" s="3">
        <f>IF(AND($C10&gt;=0,$C10&lt;=入力!$S$38),Q$1,0)</f>
        <v>0</v>
      </c>
      <c r="R10" s="3"/>
      <c r="S10" s="14"/>
      <c r="T10" s="18">
        <f t="shared" si="1"/>
        <v>0</v>
      </c>
      <c r="U10" s="24">
        <f t="shared" si="2"/>
        <v>0</v>
      </c>
      <c r="V10" s="5"/>
      <c r="W10" s="3">
        <f>IF(AND($C10&gt;=10,$C10&lt;=入力!$S$38),W$1,0)</f>
        <v>0</v>
      </c>
      <c r="X10" s="3">
        <f>IFERROR(VLOOKUP($C10,学費計算!$C:$R,学費計算!H$1,0),0)</f>
        <v>0</v>
      </c>
      <c r="Y10" s="3">
        <f>IFERROR(VLOOKUP($C10,学費計算!$C:$R,学費計算!I$1,0),0)</f>
        <v>0</v>
      </c>
      <c r="Z10" s="3">
        <f>IFERROR(VLOOKUP($C10,学費計算!$C:$R,学費計算!J$1,0),0)</f>
        <v>0</v>
      </c>
      <c r="AA10" s="3">
        <f>IFERROR(VLOOKUP($C10,学費計算!$C:$R,学費計算!K$1,0),0)</f>
        <v>0</v>
      </c>
      <c r="AB10" s="14"/>
      <c r="AC10" s="18">
        <f t="shared" si="3"/>
        <v>0</v>
      </c>
      <c r="AD10" s="24">
        <f t="shared" si="4"/>
        <v>0</v>
      </c>
      <c r="AE10" s="5">
        <f>IF(AND($C10&gt;=0,$C10&lt;=入力!$S$36),AE$1,0)</f>
        <v>0</v>
      </c>
      <c r="AF10" s="3"/>
      <c r="AG10" s="3"/>
      <c r="AH10" s="3"/>
      <c r="AI10" s="3"/>
      <c r="AJ10" s="14"/>
      <c r="AK10" s="18">
        <f t="shared" si="9"/>
        <v>0</v>
      </c>
      <c r="AL10" s="24">
        <f t="shared" si="5"/>
        <v>0</v>
      </c>
      <c r="AM10" s="24">
        <f t="shared" si="6"/>
        <v>0</v>
      </c>
    </row>
    <row r="11" spans="2:43" x14ac:dyDescent="0.25">
      <c r="B11" s="5">
        <f t="shared" si="7"/>
        <v>24</v>
      </c>
      <c r="C11" s="3">
        <f t="shared" si="8"/>
        <v>-95</v>
      </c>
      <c r="D11" s="34"/>
      <c r="E11" s="3">
        <f>IF(親1!D11&lt;=833.3+42*親1!AS11,IF(AND(C11&gt;=0,C11&lt;=3),1.5*12,IF(AND(C11&gt;3,C11&lt;=15),1*12,0)),IF(AND(C11&gt;=0,C11&lt;=15),0.5*12,0))</f>
        <v>0</v>
      </c>
      <c r="F11" s="3"/>
      <c r="G11" s="3"/>
      <c r="H11" s="3"/>
      <c r="I11" s="14"/>
      <c r="J11" s="24">
        <f t="shared" si="0"/>
        <v>0</v>
      </c>
      <c r="K11" s="5"/>
      <c r="L11" s="3"/>
      <c r="M11" s="3">
        <f>IF(AND($C11&gt;=0,$C11&lt;=入力!$S$38),M$1,0)</f>
        <v>0</v>
      </c>
      <c r="N11" s="3">
        <f>IF(AND($C11&gt;=0,$C11&lt;=入力!$S$38),N$1,0)</f>
        <v>0</v>
      </c>
      <c r="O11" s="3">
        <f>IF(AND($C11&gt;=0,$C11&lt;=入力!$S$38),O$1,0)</f>
        <v>0</v>
      </c>
      <c r="P11" s="3">
        <f>IF(AND($C11&gt;=0,$C11&lt;=入力!$S$38),P$1,0)</f>
        <v>0</v>
      </c>
      <c r="Q11" s="3">
        <f>IF(AND($C11&gt;=0,$C11&lt;=入力!$S$38),Q$1,0)</f>
        <v>0</v>
      </c>
      <c r="R11" s="3"/>
      <c r="S11" s="14"/>
      <c r="T11" s="18">
        <f t="shared" si="1"/>
        <v>0</v>
      </c>
      <c r="U11" s="24">
        <f t="shared" si="2"/>
        <v>0</v>
      </c>
      <c r="V11" s="5"/>
      <c r="W11" s="3">
        <f>IF(AND($C11&gt;=10,$C11&lt;=入力!$S$38),W$1,0)</f>
        <v>0</v>
      </c>
      <c r="X11" s="3">
        <f>IFERROR(VLOOKUP($C11,学費計算!$C:$R,学費計算!H$1,0),0)</f>
        <v>0</v>
      </c>
      <c r="Y11" s="3">
        <f>IFERROR(VLOOKUP($C11,学費計算!$C:$R,学費計算!I$1,0),0)</f>
        <v>0</v>
      </c>
      <c r="Z11" s="3">
        <f>IFERROR(VLOOKUP($C11,学費計算!$C:$R,学費計算!J$1,0),0)</f>
        <v>0</v>
      </c>
      <c r="AA11" s="3">
        <f>IFERROR(VLOOKUP($C11,学費計算!$C:$R,学費計算!K$1,0),0)</f>
        <v>0</v>
      </c>
      <c r="AB11" s="14"/>
      <c r="AC11" s="18">
        <f t="shared" si="3"/>
        <v>0</v>
      </c>
      <c r="AD11" s="24">
        <f t="shared" si="4"/>
        <v>0</v>
      </c>
      <c r="AE11" s="5">
        <f>IF(AND($C11&gt;=0,$C11&lt;=入力!$S$36),AE$1,0)</f>
        <v>0</v>
      </c>
      <c r="AF11" s="3"/>
      <c r="AG11" s="3"/>
      <c r="AH11" s="3"/>
      <c r="AI11" s="3"/>
      <c r="AJ11" s="14"/>
      <c r="AK11" s="18">
        <f t="shared" si="9"/>
        <v>0</v>
      </c>
      <c r="AL11" s="24">
        <f t="shared" si="5"/>
        <v>0</v>
      </c>
      <c r="AM11" s="24">
        <f t="shared" si="6"/>
        <v>0</v>
      </c>
    </row>
    <row r="12" spans="2:43" x14ac:dyDescent="0.25">
      <c r="B12" s="5">
        <f t="shared" si="7"/>
        <v>25</v>
      </c>
      <c r="C12" s="3">
        <f t="shared" si="8"/>
        <v>-94</v>
      </c>
      <c r="D12" s="34"/>
      <c r="E12" s="3">
        <f>IF(親1!D12&lt;=833.3+42*親1!AS12,IF(AND(C12&gt;=0,C12&lt;=3),1.5*12,IF(AND(C12&gt;3,C12&lt;=15),1*12,0)),IF(AND(C12&gt;=0,C12&lt;=15),0.5*12,0))</f>
        <v>0</v>
      </c>
      <c r="F12" s="3"/>
      <c r="G12" s="3"/>
      <c r="H12" s="3"/>
      <c r="I12" s="14"/>
      <c r="J12" s="24">
        <f t="shared" si="0"/>
        <v>0</v>
      </c>
      <c r="K12" s="5"/>
      <c r="L12" s="3"/>
      <c r="M12" s="3">
        <f>IF(AND($C12&gt;=0,$C12&lt;=入力!$S$38),M$1,0)</f>
        <v>0</v>
      </c>
      <c r="N12" s="3">
        <f>IF(AND($C12&gt;=0,$C12&lt;=入力!$S$38),N$1,0)</f>
        <v>0</v>
      </c>
      <c r="O12" s="3">
        <f>IF(AND($C12&gt;=0,$C12&lt;=入力!$S$38),O$1,0)</f>
        <v>0</v>
      </c>
      <c r="P12" s="3">
        <f>IF(AND($C12&gt;=0,$C12&lt;=入力!$S$38),P$1,0)</f>
        <v>0</v>
      </c>
      <c r="Q12" s="3">
        <f>IF(AND($C12&gt;=0,$C12&lt;=入力!$S$38),Q$1,0)</f>
        <v>0</v>
      </c>
      <c r="R12" s="3"/>
      <c r="S12" s="14"/>
      <c r="T12" s="18">
        <f t="shared" si="1"/>
        <v>0</v>
      </c>
      <c r="U12" s="24">
        <f t="shared" si="2"/>
        <v>0</v>
      </c>
      <c r="V12" s="5"/>
      <c r="W12" s="3">
        <f>IF(AND($C12&gt;=10,$C12&lt;=入力!$S$38),W$1,0)</f>
        <v>0</v>
      </c>
      <c r="X12" s="3">
        <f>IFERROR(VLOOKUP($C12,学費計算!$C:$R,学費計算!H$1,0),0)</f>
        <v>0</v>
      </c>
      <c r="Y12" s="3">
        <f>IFERROR(VLOOKUP($C12,学費計算!$C:$R,学費計算!I$1,0),0)</f>
        <v>0</v>
      </c>
      <c r="Z12" s="3">
        <f>IFERROR(VLOOKUP($C12,学費計算!$C:$R,学費計算!J$1,0),0)</f>
        <v>0</v>
      </c>
      <c r="AA12" s="3">
        <f>IFERROR(VLOOKUP($C12,学費計算!$C:$R,学費計算!K$1,0),0)</f>
        <v>0</v>
      </c>
      <c r="AB12" s="14"/>
      <c r="AC12" s="18">
        <f t="shared" si="3"/>
        <v>0</v>
      </c>
      <c r="AD12" s="24">
        <f t="shared" si="4"/>
        <v>0</v>
      </c>
      <c r="AE12" s="5">
        <f>IF(AND($C12&gt;=0,$C12&lt;=入力!$S$36),AE$1,0)</f>
        <v>0</v>
      </c>
      <c r="AF12" s="3"/>
      <c r="AG12" s="3"/>
      <c r="AH12" s="3"/>
      <c r="AI12" s="3"/>
      <c r="AJ12" s="14"/>
      <c r="AK12" s="18">
        <f t="shared" si="9"/>
        <v>0</v>
      </c>
      <c r="AL12" s="24">
        <f t="shared" si="5"/>
        <v>0</v>
      </c>
      <c r="AM12" s="24">
        <f t="shared" si="6"/>
        <v>0</v>
      </c>
    </row>
    <row r="13" spans="2:43" x14ac:dyDescent="0.25">
      <c r="B13" s="5">
        <f t="shared" si="7"/>
        <v>26</v>
      </c>
      <c r="C13" s="3">
        <f t="shared" si="8"/>
        <v>-93</v>
      </c>
      <c r="D13" s="34"/>
      <c r="E13" s="3">
        <f>IF(親1!D13&lt;=833.3+42*親1!AS13,IF(AND(C13&gt;=0,C13&lt;=3),1.5*12,IF(AND(C13&gt;3,C13&lt;=15),1*12,0)),IF(AND(C13&gt;=0,C13&lt;=15),0.5*12,0))</f>
        <v>0</v>
      </c>
      <c r="F13" s="3"/>
      <c r="G13" s="3"/>
      <c r="H13" s="3"/>
      <c r="I13" s="14"/>
      <c r="J13" s="24">
        <f t="shared" si="0"/>
        <v>0</v>
      </c>
      <c r="K13" s="5"/>
      <c r="L13" s="3"/>
      <c r="M13" s="3">
        <f>IF(AND($C13&gt;=0,$C13&lt;=入力!$S$38),M$1,0)</f>
        <v>0</v>
      </c>
      <c r="N13" s="3">
        <f>IF(AND($C13&gt;=0,$C13&lt;=入力!$S$38),N$1,0)</f>
        <v>0</v>
      </c>
      <c r="O13" s="3">
        <f>IF(AND($C13&gt;=0,$C13&lt;=入力!$S$38),O$1,0)</f>
        <v>0</v>
      </c>
      <c r="P13" s="3">
        <f>IF(AND($C13&gt;=0,$C13&lt;=入力!$S$38),P$1,0)</f>
        <v>0</v>
      </c>
      <c r="Q13" s="3">
        <f>IF(AND($C13&gt;=0,$C13&lt;=入力!$S$38),Q$1,0)</f>
        <v>0</v>
      </c>
      <c r="R13" s="3"/>
      <c r="S13" s="14"/>
      <c r="T13" s="18">
        <f t="shared" si="1"/>
        <v>0</v>
      </c>
      <c r="U13" s="24">
        <f t="shared" si="2"/>
        <v>0</v>
      </c>
      <c r="V13" s="5"/>
      <c r="W13" s="3">
        <f>IF(AND($C13&gt;=10,$C13&lt;=入力!$S$38),W$1,0)</f>
        <v>0</v>
      </c>
      <c r="X13" s="3">
        <f>IFERROR(VLOOKUP($C13,学費計算!$C:$R,学費計算!H$1,0),0)</f>
        <v>0</v>
      </c>
      <c r="Y13" s="3">
        <f>IFERROR(VLOOKUP($C13,学費計算!$C:$R,学費計算!I$1,0),0)</f>
        <v>0</v>
      </c>
      <c r="Z13" s="3">
        <f>IFERROR(VLOOKUP($C13,学費計算!$C:$R,学費計算!J$1,0),0)</f>
        <v>0</v>
      </c>
      <c r="AA13" s="3">
        <f>IFERROR(VLOOKUP($C13,学費計算!$C:$R,学費計算!K$1,0),0)</f>
        <v>0</v>
      </c>
      <c r="AB13" s="14"/>
      <c r="AC13" s="18">
        <f t="shared" si="3"/>
        <v>0</v>
      </c>
      <c r="AD13" s="24">
        <f t="shared" si="4"/>
        <v>0</v>
      </c>
      <c r="AE13" s="5">
        <f>IF(AND($C13&gt;=0,$C13&lt;=入力!$S$36),AE$1,0)</f>
        <v>0</v>
      </c>
      <c r="AF13" s="3"/>
      <c r="AG13" s="3"/>
      <c r="AH13" s="3"/>
      <c r="AI13" s="3"/>
      <c r="AJ13" s="14"/>
      <c r="AK13" s="18">
        <f t="shared" si="9"/>
        <v>0</v>
      </c>
      <c r="AL13" s="24">
        <f t="shared" si="5"/>
        <v>0</v>
      </c>
      <c r="AM13" s="24">
        <f t="shared" si="6"/>
        <v>0</v>
      </c>
    </row>
    <row r="14" spans="2:43" x14ac:dyDescent="0.25">
      <c r="B14" s="5">
        <f t="shared" si="7"/>
        <v>27</v>
      </c>
      <c r="C14" s="3">
        <f t="shared" si="8"/>
        <v>-92</v>
      </c>
      <c r="D14" s="34"/>
      <c r="E14" s="3">
        <f>IF(親1!D14&lt;=833.3+42*親1!AS14,IF(AND(C14&gt;=0,C14&lt;=3),1.5*12,IF(AND(C14&gt;3,C14&lt;=15),1*12,0)),IF(AND(C14&gt;=0,C14&lt;=15),0.5*12,0))</f>
        <v>0</v>
      </c>
      <c r="F14" s="3"/>
      <c r="G14" s="3"/>
      <c r="H14" s="3"/>
      <c r="I14" s="14"/>
      <c r="J14" s="24">
        <f t="shared" si="0"/>
        <v>0</v>
      </c>
      <c r="K14" s="5"/>
      <c r="L14" s="3"/>
      <c r="M14" s="3">
        <f>IF(AND($C14&gt;=0,$C14&lt;=入力!$S$38),M$1,0)</f>
        <v>0</v>
      </c>
      <c r="N14" s="3">
        <f>IF(AND($C14&gt;=0,$C14&lt;=入力!$S$38),N$1,0)</f>
        <v>0</v>
      </c>
      <c r="O14" s="3">
        <f>IF(AND($C14&gt;=0,$C14&lt;=入力!$S$38),O$1,0)</f>
        <v>0</v>
      </c>
      <c r="P14" s="3">
        <f>IF(AND($C14&gt;=0,$C14&lt;=入力!$S$38),P$1,0)</f>
        <v>0</v>
      </c>
      <c r="Q14" s="3">
        <f>IF(AND($C14&gt;=0,$C14&lt;=入力!$S$38),Q$1,0)</f>
        <v>0</v>
      </c>
      <c r="R14" s="3"/>
      <c r="S14" s="14"/>
      <c r="T14" s="18">
        <f t="shared" si="1"/>
        <v>0</v>
      </c>
      <c r="U14" s="24">
        <f t="shared" si="2"/>
        <v>0</v>
      </c>
      <c r="V14" s="5"/>
      <c r="W14" s="3">
        <f>IF(AND($C14&gt;=10,$C14&lt;=入力!$S$38),W$1,0)</f>
        <v>0</v>
      </c>
      <c r="X14" s="3">
        <f>IFERROR(VLOOKUP($C14,学費計算!$C:$R,学費計算!H$1,0),0)</f>
        <v>0</v>
      </c>
      <c r="Y14" s="3">
        <f>IFERROR(VLOOKUP($C14,学費計算!$C:$R,学費計算!I$1,0),0)</f>
        <v>0</v>
      </c>
      <c r="Z14" s="3">
        <f>IFERROR(VLOOKUP($C14,学費計算!$C:$R,学費計算!J$1,0),0)</f>
        <v>0</v>
      </c>
      <c r="AA14" s="3">
        <f>IFERROR(VLOOKUP($C14,学費計算!$C:$R,学費計算!K$1,0),0)</f>
        <v>0</v>
      </c>
      <c r="AB14" s="14"/>
      <c r="AC14" s="18">
        <f t="shared" si="3"/>
        <v>0</v>
      </c>
      <c r="AD14" s="24">
        <f t="shared" si="4"/>
        <v>0</v>
      </c>
      <c r="AE14" s="5">
        <f>IF(AND($C14&gt;=0,$C14&lt;=入力!$S$36),AE$1,0)</f>
        <v>0</v>
      </c>
      <c r="AF14" s="3"/>
      <c r="AG14" s="3"/>
      <c r="AH14" s="3"/>
      <c r="AI14" s="3"/>
      <c r="AJ14" s="14"/>
      <c r="AK14" s="18">
        <f t="shared" si="9"/>
        <v>0</v>
      </c>
      <c r="AL14" s="24">
        <f t="shared" si="5"/>
        <v>0</v>
      </c>
      <c r="AM14" s="24">
        <f t="shared" si="6"/>
        <v>0</v>
      </c>
    </row>
    <row r="15" spans="2:43" x14ac:dyDescent="0.25">
      <c r="B15" s="5">
        <f t="shared" si="7"/>
        <v>28</v>
      </c>
      <c r="C15" s="3">
        <f t="shared" si="8"/>
        <v>-91</v>
      </c>
      <c r="D15" s="34"/>
      <c r="E15" s="3">
        <f>IF(親1!D15&lt;=833.3+42*親1!AS15,IF(AND(C15&gt;=0,C15&lt;=3),1.5*12,IF(AND(C15&gt;3,C15&lt;=15),1*12,0)),IF(AND(C15&gt;=0,C15&lt;=15),0.5*12,0))</f>
        <v>0</v>
      </c>
      <c r="F15" s="3"/>
      <c r="G15" s="3"/>
      <c r="H15" s="3"/>
      <c r="I15" s="14"/>
      <c r="J15" s="24">
        <f t="shared" si="0"/>
        <v>0</v>
      </c>
      <c r="K15" s="5"/>
      <c r="L15" s="3"/>
      <c r="M15" s="3">
        <f>IF(AND($C15&gt;=0,$C15&lt;=入力!$S$38),M$1,0)</f>
        <v>0</v>
      </c>
      <c r="N15" s="3">
        <f>IF(AND($C15&gt;=0,$C15&lt;=入力!$S$38),N$1,0)</f>
        <v>0</v>
      </c>
      <c r="O15" s="3">
        <f>IF(AND($C15&gt;=0,$C15&lt;=入力!$S$38),O$1,0)</f>
        <v>0</v>
      </c>
      <c r="P15" s="3">
        <f>IF(AND($C15&gt;=0,$C15&lt;=入力!$S$38),P$1,0)</f>
        <v>0</v>
      </c>
      <c r="Q15" s="3">
        <f>IF(AND($C15&gt;=0,$C15&lt;=入力!$S$38),Q$1,0)</f>
        <v>0</v>
      </c>
      <c r="R15" s="3"/>
      <c r="S15" s="14"/>
      <c r="T15" s="18">
        <f t="shared" si="1"/>
        <v>0</v>
      </c>
      <c r="U15" s="24">
        <f t="shared" si="2"/>
        <v>0</v>
      </c>
      <c r="V15" s="5"/>
      <c r="W15" s="3">
        <f>IF(AND($C15&gt;=10,$C15&lt;=入力!$S$38),W$1,0)</f>
        <v>0</v>
      </c>
      <c r="X15" s="3">
        <f>IFERROR(VLOOKUP($C15,学費計算!$C:$R,学費計算!H$1,0),0)</f>
        <v>0</v>
      </c>
      <c r="Y15" s="3">
        <f>IFERROR(VLOOKUP($C15,学費計算!$C:$R,学費計算!I$1,0),0)</f>
        <v>0</v>
      </c>
      <c r="Z15" s="3">
        <f>IFERROR(VLOOKUP($C15,学費計算!$C:$R,学費計算!J$1,0),0)</f>
        <v>0</v>
      </c>
      <c r="AA15" s="3">
        <f>IFERROR(VLOOKUP($C15,学費計算!$C:$R,学費計算!K$1,0),0)</f>
        <v>0</v>
      </c>
      <c r="AB15" s="14"/>
      <c r="AC15" s="18">
        <f t="shared" si="3"/>
        <v>0</v>
      </c>
      <c r="AD15" s="24">
        <f t="shared" si="4"/>
        <v>0</v>
      </c>
      <c r="AE15" s="5">
        <f>IF(AND($C15&gt;=0,$C15&lt;=入力!$S$36),AE$1,0)</f>
        <v>0</v>
      </c>
      <c r="AF15" s="3"/>
      <c r="AG15" s="3"/>
      <c r="AH15" s="3"/>
      <c r="AI15" s="3"/>
      <c r="AJ15" s="14"/>
      <c r="AK15" s="18">
        <f t="shared" si="9"/>
        <v>0</v>
      </c>
      <c r="AL15" s="24">
        <f t="shared" si="5"/>
        <v>0</v>
      </c>
      <c r="AM15" s="24">
        <f t="shared" si="6"/>
        <v>0</v>
      </c>
    </row>
    <row r="16" spans="2:43" x14ac:dyDescent="0.25">
      <c r="B16" s="5">
        <f t="shared" si="7"/>
        <v>29</v>
      </c>
      <c r="C16" s="3">
        <f t="shared" si="8"/>
        <v>-90</v>
      </c>
      <c r="D16" s="34"/>
      <c r="E16" s="3">
        <f>IF(親1!D16&lt;=833.3+42*親1!AS16,IF(AND(C16&gt;=0,C16&lt;=3),1.5*12,IF(AND(C16&gt;3,C16&lt;=15),1*12,0)),IF(AND(C16&gt;=0,C16&lt;=15),0.5*12,0))</f>
        <v>0</v>
      </c>
      <c r="F16" s="3"/>
      <c r="G16" s="3"/>
      <c r="H16" s="3"/>
      <c r="I16" s="14"/>
      <c r="J16" s="24">
        <f t="shared" si="0"/>
        <v>0</v>
      </c>
      <c r="K16" s="5"/>
      <c r="L16" s="3"/>
      <c r="M16" s="3">
        <f>IF(AND($C16&gt;=0,$C16&lt;=入力!$S$38),M$1,0)</f>
        <v>0</v>
      </c>
      <c r="N16" s="3">
        <f>IF(AND($C16&gt;=0,$C16&lt;=入力!$S$38),N$1,0)</f>
        <v>0</v>
      </c>
      <c r="O16" s="3">
        <f>IF(AND($C16&gt;=0,$C16&lt;=入力!$S$38),O$1,0)</f>
        <v>0</v>
      </c>
      <c r="P16" s="3">
        <f>IF(AND($C16&gt;=0,$C16&lt;=入力!$S$38),P$1,0)</f>
        <v>0</v>
      </c>
      <c r="Q16" s="3">
        <f>IF(AND($C16&gt;=0,$C16&lt;=入力!$S$38),Q$1,0)</f>
        <v>0</v>
      </c>
      <c r="R16" s="3"/>
      <c r="S16" s="14"/>
      <c r="T16" s="18">
        <f t="shared" si="1"/>
        <v>0</v>
      </c>
      <c r="U16" s="24">
        <f t="shared" si="2"/>
        <v>0</v>
      </c>
      <c r="V16" s="5"/>
      <c r="W16" s="3">
        <f>IF(AND($C16&gt;=10,$C16&lt;=入力!$S$38),W$1,0)</f>
        <v>0</v>
      </c>
      <c r="X16" s="3">
        <f>IFERROR(VLOOKUP($C16,学費計算!$C:$R,学費計算!H$1,0),0)</f>
        <v>0</v>
      </c>
      <c r="Y16" s="3">
        <f>IFERROR(VLOOKUP($C16,学費計算!$C:$R,学費計算!I$1,0),0)</f>
        <v>0</v>
      </c>
      <c r="Z16" s="3">
        <f>IFERROR(VLOOKUP($C16,学費計算!$C:$R,学費計算!J$1,0),0)</f>
        <v>0</v>
      </c>
      <c r="AA16" s="3">
        <f>IFERROR(VLOOKUP($C16,学費計算!$C:$R,学費計算!K$1,0),0)</f>
        <v>0</v>
      </c>
      <c r="AB16" s="14"/>
      <c r="AC16" s="18">
        <f t="shared" si="3"/>
        <v>0</v>
      </c>
      <c r="AD16" s="24">
        <f t="shared" si="4"/>
        <v>0</v>
      </c>
      <c r="AE16" s="5">
        <f>IF(AND($C16&gt;=0,$C16&lt;=入力!$S$36),AE$1,0)</f>
        <v>0</v>
      </c>
      <c r="AF16" s="3"/>
      <c r="AG16" s="3"/>
      <c r="AH16" s="3"/>
      <c r="AI16" s="3"/>
      <c r="AJ16" s="14"/>
      <c r="AK16" s="18">
        <f t="shared" si="9"/>
        <v>0</v>
      </c>
      <c r="AL16" s="24">
        <f t="shared" si="5"/>
        <v>0</v>
      </c>
      <c r="AM16" s="24">
        <f t="shared" si="6"/>
        <v>0</v>
      </c>
    </row>
    <row r="17" spans="2:39" x14ac:dyDescent="0.25">
      <c r="B17" s="5">
        <f t="shared" si="7"/>
        <v>30</v>
      </c>
      <c r="C17" s="3">
        <f t="shared" si="8"/>
        <v>-89</v>
      </c>
      <c r="D17" s="34"/>
      <c r="E17" s="3">
        <f>IF(親1!D17&lt;=833.3+42*親1!AS17,IF(AND(C17&gt;=0,C17&lt;=3),1.5*12,IF(AND(C17&gt;3,C17&lt;=15),1*12,0)),IF(AND(C17&gt;=0,C17&lt;=15),0.5*12,0))</f>
        <v>0</v>
      </c>
      <c r="F17" s="3"/>
      <c r="G17" s="3"/>
      <c r="H17" s="3"/>
      <c r="I17" s="14"/>
      <c r="J17" s="24">
        <f t="shared" si="0"/>
        <v>0</v>
      </c>
      <c r="K17" s="5"/>
      <c r="L17" s="3"/>
      <c r="M17" s="3">
        <f>IF(AND($C17&gt;=0,$C17&lt;=入力!$S$38),M$1,0)</f>
        <v>0</v>
      </c>
      <c r="N17" s="3">
        <f>IF(AND($C17&gt;=0,$C17&lt;=入力!$S$38),N$1,0)</f>
        <v>0</v>
      </c>
      <c r="O17" s="3">
        <f>IF(AND($C17&gt;=0,$C17&lt;=入力!$S$38),O$1,0)</f>
        <v>0</v>
      </c>
      <c r="P17" s="3">
        <f>IF(AND($C17&gt;=0,$C17&lt;=入力!$S$38),P$1,0)</f>
        <v>0</v>
      </c>
      <c r="Q17" s="3">
        <f>IF(AND($C17&gt;=0,$C17&lt;=入力!$S$38),Q$1,0)</f>
        <v>0</v>
      </c>
      <c r="R17" s="3"/>
      <c r="S17" s="14"/>
      <c r="T17" s="18">
        <f t="shared" si="1"/>
        <v>0</v>
      </c>
      <c r="U17" s="24">
        <f t="shared" si="2"/>
        <v>0</v>
      </c>
      <c r="V17" s="5"/>
      <c r="W17" s="3">
        <f>IF(AND($C17&gt;=10,$C17&lt;=入力!$S$38),W$1,0)</f>
        <v>0</v>
      </c>
      <c r="X17" s="3">
        <f>IFERROR(VLOOKUP($C17,学費計算!$C:$R,学費計算!H$1,0),0)</f>
        <v>0</v>
      </c>
      <c r="Y17" s="3">
        <f>IFERROR(VLOOKUP($C17,学費計算!$C:$R,学費計算!I$1,0),0)</f>
        <v>0</v>
      </c>
      <c r="Z17" s="3">
        <f>IFERROR(VLOOKUP($C17,学費計算!$C:$R,学費計算!J$1,0),0)</f>
        <v>0</v>
      </c>
      <c r="AA17" s="3">
        <f>IFERROR(VLOOKUP($C17,学費計算!$C:$R,学費計算!K$1,0),0)</f>
        <v>0</v>
      </c>
      <c r="AB17" s="14"/>
      <c r="AC17" s="18">
        <f t="shared" si="3"/>
        <v>0</v>
      </c>
      <c r="AD17" s="24">
        <f t="shared" si="4"/>
        <v>0</v>
      </c>
      <c r="AE17" s="5">
        <f>IF(AND($C17&gt;=0,$C17&lt;=入力!$S$36),AE$1,0)</f>
        <v>0</v>
      </c>
      <c r="AF17" s="3"/>
      <c r="AG17" s="3"/>
      <c r="AH17" s="3"/>
      <c r="AI17" s="3"/>
      <c r="AJ17" s="14"/>
      <c r="AK17" s="18">
        <f t="shared" si="9"/>
        <v>0</v>
      </c>
      <c r="AL17" s="24">
        <f t="shared" si="5"/>
        <v>0</v>
      </c>
      <c r="AM17" s="24">
        <f t="shared" si="6"/>
        <v>0</v>
      </c>
    </row>
    <row r="18" spans="2:39" x14ac:dyDescent="0.25">
      <c r="B18" s="5">
        <f t="shared" si="7"/>
        <v>31</v>
      </c>
      <c r="C18" s="3">
        <f t="shared" si="8"/>
        <v>-88</v>
      </c>
      <c r="D18" s="34"/>
      <c r="E18" s="3">
        <f>IF(親1!D18&lt;=833.3+42*親1!AS18,IF(AND(C18&gt;=0,C18&lt;=3),1.5*12,IF(AND(C18&gt;3,C18&lt;=15),1*12,0)),IF(AND(C18&gt;=0,C18&lt;=15),0.5*12,0))</f>
        <v>0</v>
      </c>
      <c r="F18" s="3"/>
      <c r="G18" s="3"/>
      <c r="H18" s="3"/>
      <c r="I18" s="14"/>
      <c r="J18" s="24">
        <f t="shared" si="0"/>
        <v>0</v>
      </c>
      <c r="K18" s="5"/>
      <c r="L18" s="3"/>
      <c r="M18" s="3">
        <f>IF(AND($C18&gt;=0,$C18&lt;=入力!$S$38),M$1,0)</f>
        <v>0</v>
      </c>
      <c r="N18" s="3">
        <f>IF(AND($C18&gt;=0,$C18&lt;=入力!$S$38),N$1,0)</f>
        <v>0</v>
      </c>
      <c r="O18" s="3">
        <f>IF(AND($C18&gt;=0,$C18&lt;=入力!$S$38),O$1,0)</f>
        <v>0</v>
      </c>
      <c r="P18" s="3">
        <f>IF(AND($C18&gt;=0,$C18&lt;=入力!$S$38),P$1,0)</f>
        <v>0</v>
      </c>
      <c r="Q18" s="3">
        <f>IF(AND($C18&gt;=0,$C18&lt;=入力!$S$38),Q$1,0)</f>
        <v>0</v>
      </c>
      <c r="R18" s="3"/>
      <c r="S18" s="14"/>
      <c r="T18" s="18">
        <f t="shared" si="1"/>
        <v>0</v>
      </c>
      <c r="U18" s="24">
        <f t="shared" si="2"/>
        <v>0</v>
      </c>
      <c r="V18" s="5"/>
      <c r="W18" s="3">
        <f>IF(AND($C18&gt;=10,$C18&lt;=入力!$S$38),W$1,0)</f>
        <v>0</v>
      </c>
      <c r="X18" s="3">
        <f>IFERROR(VLOOKUP($C18,学費計算!$C:$R,学費計算!H$1,0),0)</f>
        <v>0</v>
      </c>
      <c r="Y18" s="3">
        <f>IFERROR(VLOOKUP($C18,学費計算!$C:$R,学費計算!I$1,0),0)</f>
        <v>0</v>
      </c>
      <c r="Z18" s="3">
        <f>IFERROR(VLOOKUP($C18,学費計算!$C:$R,学費計算!J$1,0),0)</f>
        <v>0</v>
      </c>
      <c r="AA18" s="3">
        <f>IFERROR(VLOOKUP($C18,学費計算!$C:$R,学費計算!K$1,0),0)</f>
        <v>0</v>
      </c>
      <c r="AB18" s="14"/>
      <c r="AC18" s="18">
        <f t="shared" si="3"/>
        <v>0</v>
      </c>
      <c r="AD18" s="24">
        <f t="shared" si="4"/>
        <v>0</v>
      </c>
      <c r="AE18" s="5">
        <f>IF(AND($C18&gt;=0,$C18&lt;=入力!$S$36),AE$1,0)</f>
        <v>0</v>
      </c>
      <c r="AF18" s="3"/>
      <c r="AG18" s="3"/>
      <c r="AH18" s="3"/>
      <c r="AI18" s="3"/>
      <c r="AJ18" s="14"/>
      <c r="AK18" s="18">
        <f t="shared" si="9"/>
        <v>0</v>
      </c>
      <c r="AL18" s="24">
        <f t="shared" si="5"/>
        <v>0</v>
      </c>
      <c r="AM18" s="24">
        <f t="shared" si="6"/>
        <v>0</v>
      </c>
    </row>
    <row r="19" spans="2:39" x14ac:dyDescent="0.25">
      <c r="B19" s="5">
        <f t="shared" si="7"/>
        <v>32</v>
      </c>
      <c r="C19" s="3">
        <f t="shared" si="8"/>
        <v>-87</v>
      </c>
      <c r="D19" s="34"/>
      <c r="E19" s="3">
        <f>IF(親1!D19&lt;=833.3+42*親1!AS19,IF(AND(C19&gt;=0,C19&lt;=3),1.5*12,IF(AND(C19&gt;3,C19&lt;=15),1*12,0)),IF(AND(C19&gt;=0,C19&lt;=15),0.5*12,0))</f>
        <v>0</v>
      </c>
      <c r="F19" s="3"/>
      <c r="G19" s="3"/>
      <c r="H19" s="3"/>
      <c r="I19" s="14"/>
      <c r="J19" s="24">
        <f t="shared" si="0"/>
        <v>0</v>
      </c>
      <c r="K19" s="5"/>
      <c r="L19" s="3"/>
      <c r="M19" s="3">
        <f>IF(AND($C19&gt;=0,$C19&lt;=入力!$S$38),M$1,0)</f>
        <v>0</v>
      </c>
      <c r="N19" s="3">
        <f>IF(AND($C19&gt;=0,$C19&lt;=入力!$S$38),N$1,0)</f>
        <v>0</v>
      </c>
      <c r="O19" s="3">
        <f>IF(AND($C19&gt;=0,$C19&lt;=入力!$S$38),O$1,0)</f>
        <v>0</v>
      </c>
      <c r="P19" s="3">
        <f>IF(AND($C19&gt;=0,$C19&lt;=入力!$S$38),P$1,0)</f>
        <v>0</v>
      </c>
      <c r="Q19" s="3">
        <f>IF(AND($C19&gt;=0,$C19&lt;=入力!$S$38),Q$1,0)</f>
        <v>0</v>
      </c>
      <c r="R19" s="3"/>
      <c r="S19" s="14"/>
      <c r="T19" s="18">
        <f t="shared" si="1"/>
        <v>0</v>
      </c>
      <c r="U19" s="24">
        <f t="shared" si="2"/>
        <v>0</v>
      </c>
      <c r="V19" s="5"/>
      <c r="W19" s="3">
        <f>IF(AND($C19&gt;=10,$C19&lt;=入力!$S$38),W$1,0)</f>
        <v>0</v>
      </c>
      <c r="X19" s="3">
        <f>IFERROR(VLOOKUP($C19,学費計算!$C:$R,学費計算!H$1,0),0)</f>
        <v>0</v>
      </c>
      <c r="Y19" s="3">
        <f>IFERROR(VLOOKUP($C19,学費計算!$C:$R,学費計算!I$1,0),0)</f>
        <v>0</v>
      </c>
      <c r="Z19" s="3">
        <f>IFERROR(VLOOKUP($C19,学費計算!$C:$R,学費計算!J$1,0),0)</f>
        <v>0</v>
      </c>
      <c r="AA19" s="3">
        <f>IFERROR(VLOOKUP($C19,学費計算!$C:$R,学費計算!K$1,0),0)</f>
        <v>0</v>
      </c>
      <c r="AB19" s="14"/>
      <c r="AC19" s="18">
        <f t="shared" si="3"/>
        <v>0</v>
      </c>
      <c r="AD19" s="24">
        <f t="shared" si="4"/>
        <v>0</v>
      </c>
      <c r="AE19" s="5">
        <f>IF(AND($C19&gt;=0,$C19&lt;=入力!$S$36),AE$1,0)</f>
        <v>0</v>
      </c>
      <c r="AF19" s="3"/>
      <c r="AG19" s="3"/>
      <c r="AH19" s="3"/>
      <c r="AI19" s="3"/>
      <c r="AJ19" s="14"/>
      <c r="AK19" s="18">
        <f t="shared" si="9"/>
        <v>0</v>
      </c>
      <c r="AL19" s="24">
        <f t="shared" si="5"/>
        <v>0</v>
      </c>
      <c r="AM19" s="24">
        <f t="shared" si="6"/>
        <v>0</v>
      </c>
    </row>
    <row r="20" spans="2:39" x14ac:dyDescent="0.25">
      <c r="B20" s="5">
        <f t="shared" si="7"/>
        <v>33</v>
      </c>
      <c r="C20" s="3">
        <f t="shared" si="8"/>
        <v>-86</v>
      </c>
      <c r="D20" s="34"/>
      <c r="E20" s="3">
        <f>IF(親1!D20&lt;=833.3+42*親1!AS20,IF(AND(C20&gt;=0,C20&lt;=3),1.5*12,IF(AND(C20&gt;3,C20&lt;=15),1*12,0)),IF(AND(C20&gt;=0,C20&lt;=15),0.5*12,0))</f>
        <v>0</v>
      </c>
      <c r="F20" s="3"/>
      <c r="G20" s="3"/>
      <c r="H20" s="3"/>
      <c r="I20" s="14"/>
      <c r="J20" s="24">
        <f t="shared" si="0"/>
        <v>0</v>
      </c>
      <c r="K20" s="5"/>
      <c r="L20" s="3"/>
      <c r="M20" s="3">
        <f>IF(AND($C20&gt;=0,$C20&lt;=入力!$S$38),M$1,0)</f>
        <v>0</v>
      </c>
      <c r="N20" s="3">
        <f>IF(AND($C20&gt;=0,$C20&lt;=入力!$S$38),N$1,0)</f>
        <v>0</v>
      </c>
      <c r="O20" s="3">
        <f>IF(AND($C20&gt;=0,$C20&lt;=入力!$S$38),O$1,0)</f>
        <v>0</v>
      </c>
      <c r="P20" s="3">
        <f>IF(AND($C20&gt;=0,$C20&lt;=入力!$S$38),P$1,0)</f>
        <v>0</v>
      </c>
      <c r="Q20" s="3">
        <f>IF(AND($C20&gt;=0,$C20&lt;=入力!$S$38),Q$1,0)</f>
        <v>0</v>
      </c>
      <c r="R20" s="3"/>
      <c r="S20" s="14"/>
      <c r="T20" s="18">
        <f t="shared" si="1"/>
        <v>0</v>
      </c>
      <c r="U20" s="24">
        <f t="shared" si="2"/>
        <v>0</v>
      </c>
      <c r="V20" s="5"/>
      <c r="W20" s="3">
        <f>IF(AND($C20&gt;=10,$C20&lt;=入力!$S$38),W$1,0)</f>
        <v>0</v>
      </c>
      <c r="X20" s="3">
        <f>IFERROR(VLOOKUP($C20,学費計算!$C:$R,学費計算!H$1,0),0)</f>
        <v>0</v>
      </c>
      <c r="Y20" s="3">
        <f>IFERROR(VLOOKUP($C20,学費計算!$C:$R,学費計算!I$1,0),0)</f>
        <v>0</v>
      </c>
      <c r="Z20" s="3">
        <f>IFERROR(VLOOKUP($C20,学費計算!$C:$R,学費計算!J$1,0),0)</f>
        <v>0</v>
      </c>
      <c r="AA20" s="3">
        <f>IFERROR(VLOOKUP($C20,学費計算!$C:$R,学費計算!K$1,0),0)</f>
        <v>0</v>
      </c>
      <c r="AB20" s="14"/>
      <c r="AC20" s="18">
        <f t="shared" si="3"/>
        <v>0</v>
      </c>
      <c r="AD20" s="24">
        <f t="shared" si="4"/>
        <v>0</v>
      </c>
      <c r="AE20" s="5">
        <f>IF(AND($C20&gt;=0,$C20&lt;=入力!$S$36),AE$1,0)</f>
        <v>0</v>
      </c>
      <c r="AF20" s="3"/>
      <c r="AG20" s="3"/>
      <c r="AH20" s="3"/>
      <c r="AI20" s="3"/>
      <c r="AJ20" s="14"/>
      <c r="AK20" s="18">
        <f t="shared" si="9"/>
        <v>0</v>
      </c>
      <c r="AL20" s="24">
        <f t="shared" si="5"/>
        <v>0</v>
      </c>
      <c r="AM20" s="24">
        <f t="shared" si="6"/>
        <v>0</v>
      </c>
    </row>
    <row r="21" spans="2:39" x14ac:dyDescent="0.25">
      <c r="B21" s="5">
        <f t="shared" si="7"/>
        <v>34</v>
      </c>
      <c r="C21" s="3">
        <f t="shared" si="8"/>
        <v>-85</v>
      </c>
      <c r="D21" s="34"/>
      <c r="E21" s="3">
        <f>IF(親1!D21&lt;=833.3+42*親1!AS21,IF(AND(C21&gt;=0,C21&lt;=3),1.5*12,IF(AND(C21&gt;3,C21&lt;=15),1*12,0)),IF(AND(C21&gt;=0,C21&lt;=15),0.5*12,0))</f>
        <v>0</v>
      </c>
      <c r="F21" s="3"/>
      <c r="G21" s="3"/>
      <c r="H21" s="3"/>
      <c r="I21" s="14"/>
      <c r="J21" s="24">
        <f t="shared" si="0"/>
        <v>0</v>
      </c>
      <c r="K21" s="5"/>
      <c r="L21" s="3"/>
      <c r="M21" s="3">
        <f>IF(AND($C21&gt;=0,$C21&lt;=入力!$S$38),M$1,0)</f>
        <v>0</v>
      </c>
      <c r="N21" s="3">
        <f>IF(AND($C21&gt;=0,$C21&lt;=入力!$S$38),N$1,0)</f>
        <v>0</v>
      </c>
      <c r="O21" s="3">
        <f>IF(AND($C21&gt;=0,$C21&lt;=入力!$S$38),O$1,0)</f>
        <v>0</v>
      </c>
      <c r="P21" s="3">
        <f>IF(AND($C21&gt;=0,$C21&lt;=入力!$S$38),P$1,0)</f>
        <v>0</v>
      </c>
      <c r="Q21" s="3">
        <f>IF(AND($C21&gt;=0,$C21&lt;=入力!$S$38),Q$1,0)</f>
        <v>0</v>
      </c>
      <c r="R21" s="3"/>
      <c r="S21" s="14"/>
      <c r="T21" s="18">
        <f t="shared" si="1"/>
        <v>0</v>
      </c>
      <c r="U21" s="24">
        <f t="shared" si="2"/>
        <v>0</v>
      </c>
      <c r="V21" s="5"/>
      <c r="W21" s="3">
        <f>IF(AND($C21&gt;=10,$C21&lt;=入力!$S$38),W$1,0)</f>
        <v>0</v>
      </c>
      <c r="X21" s="3">
        <f>IFERROR(VLOOKUP($C21,学費計算!$C:$R,学費計算!H$1,0),0)</f>
        <v>0</v>
      </c>
      <c r="Y21" s="3">
        <f>IFERROR(VLOOKUP($C21,学費計算!$C:$R,学費計算!I$1,0),0)</f>
        <v>0</v>
      </c>
      <c r="Z21" s="3">
        <f>IFERROR(VLOOKUP($C21,学費計算!$C:$R,学費計算!J$1,0),0)</f>
        <v>0</v>
      </c>
      <c r="AA21" s="3">
        <f>IFERROR(VLOOKUP($C21,学費計算!$C:$R,学費計算!K$1,0),0)</f>
        <v>0</v>
      </c>
      <c r="AB21" s="14"/>
      <c r="AC21" s="18">
        <f t="shared" si="3"/>
        <v>0</v>
      </c>
      <c r="AD21" s="24">
        <f t="shared" si="4"/>
        <v>0</v>
      </c>
      <c r="AE21" s="5">
        <f>IF(AND($C21&gt;=0,$C21&lt;=入力!$S$36),AE$1,0)</f>
        <v>0</v>
      </c>
      <c r="AF21" s="3"/>
      <c r="AG21" s="3"/>
      <c r="AH21" s="3"/>
      <c r="AI21" s="3"/>
      <c r="AJ21" s="14"/>
      <c r="AK21" s="18">
        <f t="shared" si="9"/>
        <v>0</v>
      </c>
      <c r="AL21" s="24">
        <f t="shared" si="5"/>
        <v>0</v>
      </c>
      <c r="AM21" s="24">
        <f t="shared" si="6"/>
        <v>0</v>
      </c>
    </row>
    <row r="22" spans="2:39" x14ac:dyDescent="0.25">
      <c r="B22" s="5">
        <f t="shared" si="7"/>
        <v>35</v>
      </c>
      <c r="C22" s="3">
        <f t="shared" si="8"/>
        <v>-84</v>
      </c>
      <c r="D22" s="34"/>
      <c r="E22" s="3">
        <f>IF(親1!D22&lt;=833.3+42*親1!AS22,IF(AND(C22&gt;=0,C22&lt;=3),1.5*12,IF(AND(C22&gt;3,C22&lt;=15),1*12,0)),IF(AND(C22&gt;=0,C22&lt;=15),0.5*12,0))</f>
        <v>0</v>
      </c>
      <c r="F22" s="3"/>
      <c r="G22" s="3"/>
      <c r="H22" s="3"/>
      <c r="I22" s="14"/>
      <c r="J22" s="24">
        <f t="shared" si="0"/>
        <v>0</v>
      </c>
      <c r="K22" s="5"/>
      <c r="L22" s="3"/>
      <c r="M22" s="3">
        <f>IF(AND($C22&gt;=0,$C22&lt;=入力!$S$38),M$1,0)</f>
        <v>0</v>
      </c>
      <c r="N22" s="3">
        <f>IF(AND($C22&gt;=0,$C22&lt;=入力!$S$38),N$1,0)</f>
        <v>0</v>
      </c>
      <c r="O22" s="3">
        <f>IF(AND($C22&gt;=0,$C22&lt;=入力!$S$38),O$1,0)</f>
        <v>0</v>
      </c>
      <c r="P22" s="3">
        <f>IF(AND($C22&gt;=0,$C22&lt;=入力!$S$38),P$1,0)</f>
        <v>0</v>
      </c>
      <c r="Q22" s="3">
        <f>IF(AND($C22&gt;=0,$C22&lt;=入力!$S$38),Q$1,0)</f>
        <v>0</v>
      </c>
      <c r="R22" s="3"/>
      <c r="S22" s="14"/>
      <c r="T22" s="18">
        <f t="shared" si="1"/>
        <v>0</v>
      </c>
      <c r="U22" s="24">
        <f t="shared" si="2"/>
        <v>0</v>
      </c>
      <c r="V22" s="5"/>
      <c r="W22" s="3">
        <f>IF(AND($C22&gt;=10,$C22&lt;=入力!$S$38),W$1,0)</f>
        <v>0</v>
      </c>
      <c r="X22" s="3">
        <f>IFERROR(VLOOKUP($C22,学費計算!$C:$R,学費計算!H$1,0),0)</f>
        <v>0</v>
      </c>
      <c r="Y22" s="3">
        <f>IFERROR(VLOOKUP($C22,学費計算!$C:$R,学費計算!I$1,0),0)</f>
        <v>0</v>
      </c>
      <c r="Z22" s="3">
        <f>IFERROR(VLOOKUP($C22,学費計算!$C:$R,学費計算!J$1,0),0)</f>
        <v>0</v>
      </c>
      <c r="AA22" s="3">
        <f>IFERROR(VLOOKUP($C22,学費計算!$C:$R,学費計算!K$1,0),0)</f>
        <v>0</v>
      </c>
      <c r="AB22" s="14"/>
      <c r="AC22" s="18">
        <f t="shared" si="3"/>
        <v>0</v>
      </c>
      <c r="AD22" s="24">
        <f t="shared" si="4"/>
        <v>0</v>
      </c>
      <c r="AE22" s="5">
        <f>IF(AND($C22&gt;=0,$C22&lt;=入力!$S$36),AE$1,0)</f>
        <v>0</v>
      </c>
      <c r="AF22" s="3"/>
      <c r="AG22" s="3"/>
      <c r="AH22" s="3"/>
      <c r="AI22" s="3"/>
      <c r="AJ22" s="14"/>
      <c r="AK22" s="18">
        <f t="shared" si="9"/>
        <v>0</v>
      </c>
      <c r="AL22" s="24">
        <f t="shared" si="5"/>
        <v>0</v>
      </c>
      <c r="AM22" s="24">
        <f t="shared" si="6"/>
        <v>0</v>
      </c>
    </row>
    <row r="23" spans="2:39" x14ac:dyDescent="0.25">
      <c r="B23" s="5">
        <f t="shared" si="7"/>
        <v>36</v>
      </c>
      <c r="C23" s="3">
        <f t="shared" si="8"/>
        <v>-83</v>
      </c>
      <c r="D23" s="34"/>
      <c r="E23" s="3">
        <f>IF(親1!D23&lt;=833.3+42*親1!AS23,IF(AND(C23&gt;=0,C23&lt;=3),1.5*12,IF(AND(C23&gt;3,C23&lt;=15),1*12,0)),IF(AND(C23&gt;=0,C23&lt;=15),0.5*12,0))</f>
        <v>0</v>
      </c>
      <c r="F23" s="3"/>
      <c r="G23" s="3"/>
      <c r="H23" s="3"/>
      <c r="I23" s="14"/>
      <c r="J23" s="24">
        <f t="shared" si="0"/>
        <v>0</v>
      </c>
      <c r="K23" s="5"/>
      <c r="L23" s="3"/>
      <c r="M23" s="3">
        <f>IF(AND($C23&gt;=0,$C23&lt;=入力!$S$38),M$1,0)</f>
        <v>0</v>
      </c>
      <c r="N23" s="3">
        <f>IF(AND($C23&gt;=0,$C23&lt;=入力!$S$38),N$1,0)</f>
        <v>0</v>
      </c>
      <c r="O23" s="3">
        <f>IF(AND($C23&gt;=0,$C23&lt;=入力!$S$38),O$1,0)</f>
        <v>0</v>
      </c>
      <c r="P23" s="3">
        <f>IF(AND($C23&gt;=0,$C23&lt;=入力!$S$38),P$1,0)</f>
        <v>0</v>
      </c>
      <c r="Q23" s="3">
        <f>IF(AND($C23&gt;=0,$C23&lt;=入力!$S$38),Q$1,0)</f>
        <v>0</v>
      </c>
      <c r="R23" s="3"/>
      <c r="S23" s="14"/>
      <c r="T23" s="18">
        <f t="shared" si="1"/>
        <v>0</v>
      </c>
      <c r="U23" s="24">
        <f t="shared" si="2"/>
        <v>0</v>
      </c>
      <c r="V23" s="5"/>
      <c r="W23" s="3">
        <f>IF(AND($C23&gt;=10,$C23&lt;=入力!$S$38),W$1,0)</f>
        <v>0</v>
      </c>
      <c r="X23" s="3">
        <f>IFERROR(VLOOKUP($C23,学費計算!$C:$R,学費計算!H$1,0),0)</f>
        <v>0</v>
      </c>
      <c r="Y23" s="3">
        <f>IFERROR(VLOOKUP($C23,学費計算!$C:$R,学費計算!I$1,0),0)</f>
        <v>0</v>
      </c>
      <c r="Z23" s="3">
        <f>IFERROR(VLOOKUP($C23,学費計算!$C:$R,学費計算!J$1,0),0)</f>
        <v>0</v>
      </c>
      <c r="AA23" s="3">
        <f>IFERROR(VLOOKUP($C23,学費計算!$C:$R,学費計算!K$1,0),0)</f>
        <v>0</v>
      </c>
      <c r="AB23" s="14"/>
      <c r="AC23" s="18">
        <f t="shared" si="3"/>
        <v>0</v>
      </c>
      <c r="AD23" s="24">
        <f t="shared" si="4"/>
        <v>0</v>
      </c>
      <c r="AE23" s="5">
        <f>IF(AND($C23&gt;=0,$C23&lt;=入力!$S$36),AE$1,0)</f>
        <v>0</v>
      </c>
      <c r="AF23" s="3"/>
      <c r="AG23" s="3"/>
      <c r="AH23" s="3"/>
      <c r="AI23" s="3"/>
      <c r="AJ23" s="14"/>
      <c r="AK23" s="18">
        <f t="shared" si="9"/>
        <v>0</v>
      </c>
      <c r="AL23" s="24">
        <f t="shared" si="5"/>
        <v>0</v>
      </c>
      <c r="AM23" s="24">
        <f t="shared" si="6"/>
        <v>0</v>
      </c>
    </row>
    <row r="24" spans="2:39" x14ac:dyDescent="0.25">
      <c r="B24" s="5">
        <f t="shared" si="7"/>
        <v>37</v>
      </c>
      <c r="C24" s="3">
        <f t="shared" si="8"/>
        <v>-82</v>
      </c>
      <c r="D24" s="34"/>
      <c r="E24" s="3">
        <f>IF(親1!D24&lt;=833.3+42*親1!AS24,IF(AND(C24&gt;=0,C24&lt;=3),1.5*12,IF(AND(C24&gt;3,C24&lt;=15),1*12,0)),IF(AND(C24&gt;=0,C24&lt;=15),0.5*12,0))</f>
        <v>0</v>
      </c>
      <c r="F24" s="3"/>
      <c r="G24" s="3"/>
      <c r="H24" s="3"/>
      <c r="I24" s="14"/>
      <c r="J24" s="24">
        <f t="shared" si="0"/>
        <v>0</v>
      </c>
      <c r="K24" s="5"/>
      <c r="L24" s="3"/>
      <c r="M24" s="3">
        <f>IF(AND($C24&gt;=0,$C24&lt;=入力!$S$38),M$1,0)</f>
        <v>0</v>
      </c>
      <c r="N24" s="3">
        <f>IF(AND($C24&gt;=0,$C24&lt;=入力!$S$38),N$1,0)</f>
        <v>0</v>
      </c>
      <c r="O24" s="3">
        <f>IF(AND($C24&gt;=0,$C24&lt;=入力!$S$38),O$1,0)</f>
        <v>0</v>
      </c>
      <c r="P24" s="3">
        <f>IF(AND($C24&gt;=0,$C24&lt;=入力!$S$38),P$1,0)</f>
        <v>0</v>
      </c>
      <c r="Q24" s="3">
        <f>IF(AND($C24&gt;=0,$C24&lt;=入力!$S$38),Q$1,0)</f>
        <v>0</v>
      </c>
      <c r="R24" s="3"/>
      <c r="S24" s="14"/>
      <c r="T24" s="18">
        <f t="shared" si="1"/>
        <v>0</v>
      </c>
      <c r="U24" s="24">
        <f t="shared" si="2"/>
        <v>0</v>
      </c>
      <c r="V24" s="5"/>
      <c r="W24" s="3">
        <f>IF(AND($C24&gt;=10,$C24&lt;=入力!$S$38),W$1,0)</f>
        <v>0</v>
      </c>
      <c r="X24" s="3">
        <f>IFERROR(VLOOKUP($C24,学費計算!$C:$R,学費計算!H$1,0),0)</f>
        <v>0</v>
      </c>
      <c r="Y24" s="3">
        <f>IFERROR(VLOOKUP($C24,学費計算!$C:$R,学費計算!I$1,0),0)</f>
        <v>0</v>
      </c>
      <c r="Z24" s="3">
        <f>IFERROR(VLOOKUP($C24,学費計算!$C:$R,学費計算!J$1,0),0)</f>
        <v>0</v>
      </c>
      <c r="AA24" s="3">
        <f>IFERROR(VLOOKUP($C24,学費計算!$C:$R,学費計算!K$1,0),0)</f>
        <v>0</v>
      </c>
      <c r="AB24" s="14"/>
      <c r="AC24" s="18">
        <f t="shared" si="3"/>
        <v>0</v>
      </c>
      <c r="AD24" s="24">
        <f t="shared" si="4"/>
        <v>0</v>
      </c>
      <c r="AE24" s="5">
        <f>IF(AND($C24&gt;=0,$C24&lt;=入力!$S$36),AE$1,0)</f>
        <v>0</v>
      </c>
      <c r="AF24" s="3"/>
      <c r="AG24" s="3"/>
      <c r="AH24" s="3"/>
      <c r="AI24" s="3"/>
      <c r="AJ24" s="14"/>
      <c r="AK24" s="18">
        <f t="shared" si="9"/>
        <v>0</v>
      </c>
      <c r="AL24" s="24">
        <f t="shared" si="5"/>
        <v>0</v>
      </c>
      <c r="AM24" s="24">
        <f t="shared" si="6"/>
        <v>0</v>
      </c>
    </row>
    <row r="25" spans="2:39" x14ac:dyDescent="0.25">
      <c r="B25" s="5">
        <f t="shared" si="7"/>
        <v>38</v>
      </c>
      <c r="C25" s="3">
        <f t="shared" si="8"/>
        <v>-81</v>
      </c>
      <c r="D25" s="34"/>
      <c r="E25" s="3">
        <f>IF(親1!D25&lt;=833.3+42*親1!AS25,IF(AND(C25&gt;=0,C25&lt;=3),1.5*12,IF(AND(C25&gt;3,C25&lt;=15),1*12,0)),IF(AND(C25&gt;=0,C25&lt;=15),0.5*12,0))</f>
        <v>0</v>
      </c>
      <c r="F25" s="3"/>
      <c r="G25" s="3"/>
      <c r="H25" s="3"/>
      <c r="I25" s="14"/>
      <c r="J25" s="24">
        <f t="shared" si="0"/>
        <v>0</v>
      </c>
      <c r="K25" s="5"/>
      <c r="L25" s="3"/>
      <c r="M25" s="3">
        <f>IF(AND($C25&gt;=0,$C25&lt;=入力!$S$38),M$1,0)</f>
        <v>0</v>
      </c>
      <c r="N25" s="3">
        <f>IF(AND($C25&gt;=0,$C25&lt;=入力!$S$38),N$1,0)</f>
        <v>0</v>
      </c>
      <c r="O25" s="3">
        <f>IF(AND($C25&gt;=0,$C25&lt;=入力!$S$38),O$1,0)</f>
        <v>0</v>
      </c>
      <c r="P25" s="3">
        <f>IF(AND($C25&gt;=0,$C25&lt;=入力!$S$38),P$1,0)</f>
        <v>0</v>
      </c>
      <c r="Q25" s="3">
        <f>IF(AND($C25&gt;=0,$C25&lt;=入力!$S$38),Q$1,0)</f>
        <v>0</v>
      </c>
      <c r="R25" s="3"/>
      <c r="S25" s="14"/>
      <c r="T25" s="18">
        <f t="shared" si="1"/>
        <v>0</v>
      </c>
      <c r="U25" s="24">
        <f t="shared" si="2"/>
        <v>0</v>
      </c>
      <c r="V25" s="5"/>
      <c r="W25" s="3">
        <f>IF(AND($C25&gt;=10,$C25&lt;=入力!$S$38),W$1,0)</f>
        <v>0</v>
      </c>
      <c r="X25" s="3">
        <f>IFERROR(VLOOKUP($C25,学費計算!$C:$R,学費計算!H$1,0),0)</f>
        <v>0</v>
      </c>
      <c r="Y25" s="3">
        <f>IFERROR(VLOOKUP($C25,学費計算!$C:$R,学費計算!I$1,0),0)</f>
        <v>0</v>
      </c>
      <c r="Z25" s="3">
        <f>IFERROR(VLOOKUP($C25,学費計算!$C:$R,学費計算!J$1,0),0)</f>
        <v>0</v>
      </c>
      <c r="AA25" s="3">
        <f>IFERROR(VLOOKUP($C25,学費計算!$C:$R,学費計算!K$1,0),0)</f>
        <v>0</v>
      </c>
      <c r="AB25" s="14"/>
      <c r="AC25" s="18">
        <f t="shared" si="3"/>
        <v>0</v>
      </c>
      <c r="AD25" s="24">
        <f t="shared" si="4"/>
        <v>0</v>
      </c>
      <c r="AE25" s="5">
        <f>IF(AND($C25&gt;=0,$C25&lt;=入力!$S$36),AE$1,0)</f>
        <v>0</v>
      </c>
      <c r="AF25" s="3"/>
      <c r="AG25" s="3"/>
      <c r="AH25" s="3"/>
      <c r="AI25" s="3"/>
      <c r="AJ25" s="14"/>
      <c r="AK25" s="18">
        <f t="shared" si="9"/>
        <v>0</v>
      </c>
      <c r="AL25" s="24">
        <f t="shared" si="5"/>
        <v>0</v>
      </c>
      <c r="AM25" s="24">
        <f t="shared" si="6"/>
        <v>0</v>
      </c>
    </row>
    <row r="26" spans="2:39" x14ac:dyDescent="0.25">
      <c r="B26" s="5">
        <f t="shared" si="7"/>
        <v>39</v>
      </c>
      <c r="C26" s="3">
        <f t="shared" si="8"/>
        <v>-80</v>
      </c>
      <c r="D26" s="34"/>
      <c r="E26" s="3">
        <f>IF(親1!D26&lt;=833.3+42*親1!AS26,IF(AND(C26&gt;=0,C26&lt;=3),1.5*12,IF(AND(C26&gt;3,C26&lt;=15),1*12,0)),IF(AND(C26&gt;=0,C26&lt;=15),0.5*12,0))</f>
        <v>0</v>
      </c>
      <c r="F26" s="3"/>
      <c r="G26" s="3"/>
      <c r="H26" s="3"/>
      <c r="I26" s="14"/>
      <c r="J26" s="24">
        <f t="shared" si="0"/>
        <v>0</v>
      </c>
      <c r="K26" s="5"/>
      <c r="L26" s="3"/>
      <c r="M26" s="3">
        <f>IF(AND($C26&gt;=0,$C26&lt;=入力!$S$38),M$1,0)</f>
        <v>0</v>
      </c>
      <c r="N26" s="3">
        <f>IF(AND($C26&gt;=0,$C26&lt;=入力!$S$38),N$1,0)</f>
        <v>0</v>
      </c>
      <c r="O26" s="3">
        <f>IF(AND($C26&gt;=0,$C26&lt;=入力!$S$38),O$1,0)</f>
        <v>0</v>
      </c>
      <c r="P26" s="3">
        <f>IF(AND($C26&gt;=0,$C26&lt;=入力!$S$38),P$1,0)</f>
        <v>0</v>
      </c>
      <c r="Q26" s="3">
        <f>IF(AND($C26&gt;=0,$C26&lt;=入力!$S$38),Q$1,0)</f>
        <v>0</v>
      </c>
      <c r="R26" s="3"/>
      <c r="S26" s="14"/>
      <c r="T26" s="18">
        <f t="shared" si="1"/>
        <v>0</v>
      </c>
      <c r="U26" s="24">
        <f t="shared" si="2"/>
        <v>0</v>
      </c>
      <c r="V26" s="5"/>
      <c r="W26" s="3">
        <f>IF(AND($C26&gt;=10,$C26&lt;=入力!$S$38),W$1,0)</f>
        <v>0</v>
      </c>
      <c r="X26" s="3">
        <f>IFERROR(VLOOKUP($C26,学費計算!$C:$R,学費計算!H$1,0),0)</f>
        <v>0</v>
      </c>
      <c r="Y26" s="3">
        <f>IFERROR(VLOOKUP($C26,学費計算!$C:$R,学費計算!I$1,0),0)</f>
        <v>0</v>
      </c>
      <c r="Z26" s="3">
        <f>IFERROR(VLOOKUP($C26,学費計算!$C:$R,学費計算!J$1,0),0)</f>
        <v>0</v>
      </c>
      <c r="AA26" s="3">
        <f>IFERROR(VLOOKUP($C26,学費計算!$C:$R,学費計算!K$1,0),0)</f>
        <v>0</v>
      </c>
      <c r="AB26" s="14"/>
      <c r="AC26" s="18">
        <f t="shared" si="3"/>
        <v>0</v>
      </c>
      <c r="AD26" s="24">
        <f t="shared" si="4"/>
        <v>0</v>
      </c>
      <c r="AE26" s="5">
        <f>IF(AND($C26&gt;=0,$C26&lt;=入力!$S$36),AE$1,0)</f>
        <v>0</v>
      </c>
      <c r="AF26" s="3"/>
      <c r="AG26" s="3"/>
      <c r="AH26" s="3"/>
      <c r="AI26" s="3"/>
      <c r="AJ26" s="14"/>
      <c r="AK26" s="18">
        <f t="shared" si="9"/>
        <v>0</v>
      </c>
      <c r="AL26" s="24">
        <f t="shared" si="5"/>
        <v>0</v>
      </c>
      <c r="AM26" s="24">
        <f t="shared" si="6"/>
        <v>0</v>
      </c>
    </row>
    <row r="27" spans="2:39" x14ac:dyDescent="0.25">
      <c r="B27" s="5">
        <f t="shared" si="7"/>
        <v>40</v>
      </c>
      <c r="C27" s="3">
        <f t="shared" si="8"/>
        <v>-79</v>
      </c>
      <c r="D27" s="34"/>
      <c r="E27" s="3">
        <f>IF(親1!D27&lt;=833.3+42*親1!AS27,IF(AND(C27&gt;=0,C27&lt;=3),1.5*12,IF(AND(C27&gt;3,C27&lt;=15),1*12,0)),IF(AND(C27&gt;=0,C27&lt;=15),0.5*12,0))</f>
        <v>0</v>
      </c>
      <c r="F27" s="3"/>
      <c r="G27" s="3"/>
      <c r="H27" s="3"/>
      <c r="I27" s="14"/>
      <c r="J27" s="24">
        <f t="shared" si="0"/>
        <v>0</v>
      </c>
      <c r="K27" s="5"/>
      <c r="L27" s="3"/>
      <c r="M27" s="3">
        <f>IF(AND($C27&gt;=0,$C27&lt;=入力!$S$38),M$1,0)</f>
        <v>0</v>
      </c>
      <c r="N27" s="3">
        <f>IF(AND($C27&gt;=0,$C27&lt;=入力!$S$38),N$1,0)</f>
        <v>0</v>
      </c>
      <c r="O27" s="3">
        <f>IF(AND($C27&gt;=0,$C27&lt;=入力!$S$38),O$1,0)</f>
        <v>0</v>
      </c>
      <c r="P27" s="3">
        <f>IF(AND($C27&gt;=0,$C27&lt;=入力!$S$38),P$1,0)</f>
        <v>0</v>
      </c>
      <c r="Q27" s="3">
        <f>IF(AND($C27&gt;=0,$C27&lt;=入力!$S$38),Q$1,0)</f>
        <v>0</v>
      </c>
      <c r="R27" s="3"/>
      <c r="S27" s="14"/>
      <c r="T27" s="18">
        <f t="shared" si="1"/>
        <v>0</v>
      </c>
      <c r="U27" s="24">
        <f t="shared" si="2"/>
        <v>0</v>
      </c>
      <c r="V27" s="5"/>
      <c r="W27" s="3">
        <f>IF(AND($C27&gt;=10,$C27&lt;=入力!$S$38),W$1,0)</f>
        <v>0</v>
      </c>
      <c r="X27" s="3">
        <f>IFERROR(VLOOKUP($C27,学費計算!$C:$R,学費計算!H$1,0),0)</f>
        <v>0</v>
      </c>
      <c r="Y27" s="3">
        <f>IFERROR(VLOOKUP($C27,学費計算!$C:$R,学費計算!I$1,0),0)</f>
        <v>0</v>
      </c>
      <c r="Z27" s="3">
        <f>IFERROR(VLOOKUP($C27,学費計算!$C:$R,学費計算!J$1,0),0)</f>
        <v>0</v>
      </c>
      <c r="AA27" s="3">
        <f>IFERROR(VLOOKUP($C27,学費計算!$C:$R,学費計算!K$1,0),0)</f>
        <v>0</v>
      </c>
      <c r="AB27" s="14"/>
      <c r="AC27" s="18">
        <f t="shared" si="3"/>
        <v>0</v>
      </c>
      <c r="AD27" s="24">
        <f t="shared" si="4"/>
        <v>0</v>
      </c>
      <c r="AE27" s="5">
        <f>IF(AND($C27&gt;=0,$C27&lt;=入力!$S$36),AE$1,0)</f>
        <v>0</v>
      </c>
      <c r="AF27" s="3"/>
      <c r="AG27" s="3"/>
      <c r="AH27" s="3"/>
      <c r="AI27" s="3"/>
      <c r="AJ27" s="14"/>
      <c r="AK27" s="18">
        <f t="shared" si="9"/>
        <v>0</v>
      </c>
      <c r="AL27" s="24">
        <f t="shared" si="5"/>
        <v>0</v>
      </c>
      <c r="AM27" s="24">
        <f t="shared" si="6"/>
        <v>0</v>
      </c>
    </row>
    <row r="28" spans="2:39" x14ac:dyDescent="0.25">
      <c r="B28" s="5">
        <f t="shared" si="7"/>
        <v>41</v>
      </c>
      <c r="C28" s="3">
        <f t="shared" si="8"/>
        <v>-78</v>
      </c>
      <c r="D28" s="34"/>
      <c r="E28" s="3">
        <f>IF(親1!D28&lt;=833.3+42*親1!AS28,IF(AND(C28&gt;=0,C28&lt;=3),1.5*12,IF(AND(C28&gt;3,C28&lt;=15),1*12,0)),IF(AND(C28&gt;=0,C28&lt;=15),0.5*12,0))</f>
        <v>0</v>
      </c>
      <c r="F28" s="3"/>
      <c r="G28" s="3"/>
      <c r="H28" s="3"/>
      <c r="I28" s="14"/>
      <c r="J28" s="24">
        <f t="shared" si="0"/>
        <v>0</v>
      </c>
      <c r="K28" s="5"/>
      <c r="L28" s="3"/>
      <c r="M28" s="3">
        <f>IF(AND($C28&gt;=0,$C28&lt;=入力!$S$38),M$1,0)</f>
        <v>0</v>
      </c>
      <c r="N28" s="3">
        <f>IF(AND($C28&gt;=0,$C28&lt;=入力!$S$38),N$1,0)</f>
        <v>0</v>
      </c>
      <c r="O28" s="3">
        <f>IF(AND($C28&gt;=0,$C28&lt;=入力!$S$38),O$1,0)</f>
        <v>0</v>
      </c>
      <c r="P28" s="3">
        <f>IF(AND($C28&gt;=0,$C28&lt;=入力!$S$38),P$1,0)</f>
        <v>0</v>
      </c>
      <c r="Q28" s="3">
        <f>IF(AND($C28&gt;=0,$C28&lt;=入力!$S$38),Q$1,0)</f>
        <v>0</v>
      </c>
      <c r="R28" s="3"/>
      <c r="S28" s="14"/>
      <c r="T28" s="18">
        <f t="shared" si="1"/>
        <v>0</v>
      </c>
      <c r="U28" s="24">
        <f t="shared" si="2"/>
        <v>0</v>
      </c>
      <c r="V28" s="5"/>
      <c r="W28" s="3">
        <f>IF(AND($C28&gt;=10,$C28&lt;=入力!$S$38),W$1,0)</f>
        <v>0</v>
      </c>
      <c r="X28" s="3">
        <f>IFERROR(VLOOKUP($C28,学費計算!$C:$R,学費計算!H$1,0),0)</f>
        <v>0</v>
      </c>
      <c r="Y28" s="3">
        <f>IFERROR(VLOOKUP($C28,学費計算!$C:$R,学費計算!I$1,0),0)</f>
        <v>0</v>
      </c>
      <c r="Z28" s="3">
        <f>IFERROR(VLOOKUP($C28,学費計算!$C:$R,学費計算!J$1,0),0)</f>
        <v>0</v>
      </c>
      <c r="AA28" s="3">
        <f>IFERROR(VLOOKUP($C28,学費計算!$C:$R,学費計算!K$1,0),0)</f>
        <v>0</v>
      </c>
      <c r="AB28" s="14"/>
      <c r="AC28" s="18">
        <f t="shared" si="3"/>
        <v>0</v>
      </c>
      <c r="AD28" s="24">
        <f t="shared" si="4"/>
        <v>0</v>
      </c>
      <c r="AE28" s="5">
        <f>IF(AND($C28&gt;=0,$C28&lt;=入力!$S$36),AE$1,0)</f>
        <v>0</v>
      </c>
      <c r="AF28" s="3"/>
      <c r="AG28" s="3"/>
      <c r="AH28" s="3"/>
      <c r="AI28" s="3"/>
      <c r="AJ28" s="14"/>
      <c r="AK28" s="18">
        <f t="shared" si="9"/>
        <v>0</v>
      </c>
      <c r="AL28" s="24">
        <f t="shared" si="5"/>
        <v>0</v>
      </c>
      <c r="AM28" s="24">
        <f t="shared" si="6"/>
        <v>0</v>
      </c>
    </row>
    <row r="29" spans="2:39" x14ac:dyDescent="0.25">
      <c r="B29" s="5">
        <f t="shared" si="7"/>
        <v>42</v>
      </c>
      <c r="C29" s="3">
        <f t="shared" si="8"/>
        <v>-77</v>
      </c>
      <c r="D29" s="34"/>
      <c r="E29" s="3">
        <f>IF(親1!D29&lt;=833.3+42*親1!AS29,IF(AND(C29&gt;=0,C29&lt;=3),1.5*12,IF(AND(C29&gt;3,C29&lt;=15),1*12,0)),IF(AND(C29&gt;=0,C29&lt;=15),0.5*12,0))</f>
        <v>0</v>
      </c>
      <c r="F29" s="3"/>
      <c r="G29" s="3"/>
      <c r="H29" s="3"/>
      <c r="I29" s="14"/>
      <c r="J29" s="24">
        <f t="shared" si="0"/>
        <v>0</v>
      </c>
      <c r="K29" s="5"/>
      <c r="L29" s="3"/>
      <c r="M29" s="3">
        <f>IF(AND($C29&gt;=0,$C29&lt;=入力!$S$38),M$1,0)</f>
        <v>0</v>
      </c>
      <c r="N29" s="3">
        <f>IF(AND($C29&gt;=0,$C29&lt;=入力!$S$38),N$1,0)</f>
        <v>0</v>
      </c>
      <c r="O29" s="3">
        <f>IF(AND($C29&gt;=0,$C29&lt;=入力!$S$38),O$1,0)</f>
        <v>0</v>
      </c>
      <c r="P29" s="3">
        <f>IF(AND($C29&gt;=0,$C29&lt;=入力!$S$38),P$1,0)</f>
        <v>0</v>
      </c>
      <c r="Q29" s="3">
        <f>IF(AND($C29&gt;=0,$C29&lt;=入力!$S$38),Q$1,0)</f>
        <v>0</v>
      </c>
      <c r="R29" s="3"/>
      <c r="S29" s="14"/>
      <c r="T29" s="18">
        <f t="shared" si="1"/>
        <v>0</v>
      </c>
      <c r="U29" s="24">
        <f t="shared" si="2"/>
        <v>0</v>
      </c>
      <c r="V29" s="5"/>
      <c r="W29" s="3">
        <f>IF(AND($C29&gt;=10,$C29&lt;=入力!$S$38),W$1,0)</f>
        <v>0</v>
      </c>
      <c r="X29" s="3">
        <f>IFERROR(VLOOKUP($C29,学費計算!$C:$R,学費計算!H$1,0),0)</f>
        <v>0</v>
      </c>
      <c r="Y29" s="3">
        <f>IFERROR(VLOOKUP($C29,学費計算!$C:$R,学費計算!I$1,0),0)</f>
        <v>0</v>
      </c>
      <c r="Z29" s="3">
        <f>IFERROR(VLOOKUP($C29,学費計算!$C:$R,学費計算!J$1,0),0)</f>
        <v>0</v>
      </c>
      <c r="AA29" s="3">
        <f>IFERROR(VLOOKUP($C29,学費計算!$C:$R,学費計算!K$1,0),0)</f>
        <v>0</v>
      </c>
      <c r="AB29" s="14"/>
      <c r="AC29" s="18">
        <f t="shared" si="3"/>
        <v>0</v>
      </c>
      <c r="AD29" s="24">
        <f t="shared" si="4"/>
        <v>0</v>
      </c>
      <c r="AE29" s="5">
        <f>IF(AND($C29&gt;=0,$C29&lt;=入力!$S$36),AE$1,0)</f>
        <v>0</v>
      </c>
      <c r="AF29" s="3"/>
      <c r="AG29" s="3"/>
      <c r="AH29" s="3"/>
      <c r="AI29" s="3"/>
      <c r="AJ29" s="14"/>
      <c r="AK29" s="18">
        <f t="shared" si="9"/>
        <v>0</v>
      </c>
      <c r="AL29" s="24">
        <f t="shared" si="5"/>
        <v>0</v>
      </c>
      <c r="AM29" s="24">
        <f t="shared" si="6"/>
        <v>0</v>
      </c>
    </row>
    <row r="30" spans="2:39" x14ac:dyDescent="0.25">
      <c r="B30" s="5">
        <f t="shared" si="7"/>
        <v>43</v>
      </c>
      <c r="C30" s="3">
        <f t="shared" si="8"/>
        <v>-76</v>
      </c>
      <c r="D30" s="34"/>
      <c r="E30" s="3">
        <f>IF(親1!D30&lt;=833.3+42*親1!AS30,IF(AND(C30&gt;=0,C30&lt;=3),1.5*12,IF(AND(C30&gt;3,C30&lt;=15),1*12,0)),IF(AND(C30&gt;=0,C30&lt;=15),0.5*12,0))</f>
        <v>0</v>
      </c>
      <c r="F30" s="3"/>
      <c r="G30" s="3"/>
      <c r="H30" s="3"/>
      <c r="I30" s="14"/>
      <c r="J30" s="24">
        <f t="shared" si="0"/>
        <v>0</v>
      </c>
      <c r="K30" s="5"/>
      <c r="L30" s="3"/>
      <c r="M30" s="3">
        <f>IF(AND($C30&gt;=0,$C30&lt;=入力!$S$38),M$1,0)</f>
        <v>0</v>
      </c>
      <c r="N30" s="3">
        <f>IF(AND($C30&gt;=0,$C30&lt;=入力!$S$38),N$1,0)</f>
        <v>0</v>
      </c>
      <c r="O30" s="3">
        <f>IF(AND($C30&gt;=0,$C30&lt;=入力!$S$38),O$1,0)</f>
        <v>0</v>
      </c>
      <c r="P30" s="3">
        <f>IF(AND($C30&gt;=0,$C30&lt;=入力!$S$38),P$1,0)</f>
        <v>0</v>
      </c>
      <c r="Q30" s="3">
        <f>IF(AND($C30&gt;=0,$C30&lt;=入力!$S$38),Q$1,0)</f>
        <v>0</v>
      </c>
      <c r="R30" s="3"/>
      <c r="S30" s="14"/>
      <c r="T30" s="18">
        <f t="shared" si="1"/>
        <v>0</v>
      </c>
      <c r="U30" s="24">
        <f t="shared" si="2"/>
        <v>0</v>
      </c>
      <c r="V30" s="5"/>
      <c r="W30" s="3">
        <f>IF(AND($C30&gt;=10,$C30&lt;=入力!$S$38),W$1,0)</f>
        <v>0</v>
      </c>
      <c r="X30" s="3">
        <f>IFERROR(VLOOKUP($C30,学費計算!$C:$R,学費計算!H$1,0),0)</f>
        <v>0</v>
      </c>
      <c r="Y30" s="3">
        <f>IFERROR(VLOOKUP($C30,学費計算!$C:$R,学費計算!I$1,0),0)</f>
        <v>0</v>
      </c>
      <c r="Z30" s="3">
        <f>IFERROR(VLOOKUP($C30,学費計算!$C:$R,学費計算!J$1,0),0)</f>
        <v>0</v>
      </c>
      <c r="AA30" s="3">
        <f>IFERROR(VLOOKUP($C30,学費計算!$C:$R,学費計算!K$1,0),0)</f>
        <v>0</v>
      </c>
      <c r="AB30" s="14"/>
      <c r="AC30" s="18">
        <f t="shared" si="3"/>
        <v>0</v>
      </c>
      <c r="AD30" s="24">
        <f t="shared" si="4"/>
        <v>0</v>
      </c>
      <c r="AE30" s="5">
        <f>IF(AND($C30&gt;=0,$C30&lt;=入力!$S$36),AE$1,0)</f>
        <v>0</v>
      </c>
      <c r="AF30" s="3"/>
      <c r="AG30" s="3"/>
      <c r="AH30" s="3"/>
      <c r="AI30" s="3"/>
      <c r="AJ30" s="14"/>
      <c r="AK30" s="18">
        <f t="shared" si="9"/>
        <v>0</v>
      </c>
      <c r="AL30" s="24">
        <f t="shared" si="5"/>
        <v>0</v>
      </c>
      <c r="AM30" s="24">
        <f t="shared" si="6"/>
        <v>0</v>
      </c>
    </row>
    <row r="31" spans="2:39" x14ac:dyDescent="0.25">
      <c r="B31" s="5">
        <f t="shared" si="7"/>
        <v>44</v>
      </c>
      <c r="C31" s="3">
        <f t="shared" si="8"/>
        <v>-75</v>
      </c>
      <c r="D31" s="34"/>
      <c r="E31" s="3">
        <f>IF(親1!D31&lt;=833.3+42*親1!AS31,IF(AND(C31&gt;=0,C31&lt;=3),1.5*12,IF(AND(C31&gt;3,C31&lt;=15),1*12,0)),IF(AND(C31&gt;=0,C31&lt;=15),0.5*12,0))</f>
        <v>0</v>
      </c>
      <c r="F31" s="3"/>
      <c r="G31" s="3"/>
      <c r="H31" s="3"/>
      <c r="I31" s="14"/>
      <c r="J31" s="24">
        <f t="shared" si="0"/>
        <v>0</v>
      </c>
      <c r="K31" s="5"/>
      <c r="L31" s="3"/>
      <c r="M31" s="3">
        <f>IF(AND($C31&gt;=0,$C31&lt;=入力!$S$38),M$1,0)</f>
        <v>0</v>
      </c>
      <c r="N31" s="3">
        <f>IF(AND($C31&gt;=0,$C31&lt;=入力!$S$38),N$1,0)</f>
        <v>0</v>
      </c>
      <c r="O31" s="3">
        <f>IF(AND($C31&gt;=0,$C31&lt;=入力!$S$38),O$1,0)</f>
        <v>0</v>
      </c>
      <c r="P31" s="3">
        <f>IF(AND($C31&gt;=0,$C31&lt;=入力!$S$38),P$1,0)</f>
        <v>0</v>
      </c>
      <c r="Q31" s="3">
        <f>IF(AND($C31&gt;=0,$C31&lt;=入力!$S$38),Q$1,0)</f>
        <v>0</v>
      </c>
      <c r="R31" s="3"/>
      <c r="S31" s="14"/>
      <c r="T31" s="18">
        <f t="shared" si="1"/>
        <v>0</v>
      </c>
      <c r="U31" s="24">
        <f t="shared" si="2"/>
        <v>0</v>
      </c>
      <c r="V31" s="5"/>
      <c r="W31" s="3">
        <f>IF(AND($C31&gt;=10,$C31&lt;=入力!$S$38),W$1,0)</f>
        <v>0</v>
      </c>
      <c r="X31" s="3">
        <f>IFERROR(VLOOKUP($C31,学費計算!$C:$R,学費計算!H$1,0),0)</f>
        <v>0</v>
      </c>
      <c r="Y31" s="3">
        <f>IFERROR(VLOOKUP($C31,学費計算!$C:$R,学費計算!I$1,0),0)</f>
        <v>0</v>
      </c>
      <c r="Z31" s="3">
        <f>IFERROR(VLOOKUP($C31,学費計算!$C:$R,学費計算!J$1,0),0)</f>
        <v>0</v>
      </c>
      <c r="AA31" s="3">
        <f>IFERROR(VLOOKUP($C31,学費計算!$C:$R,学費計算!K$1,0),0)</f>
        <v>0</v>
      </c>
      <c r="AB31" s="14"/>
      <c r="AC31" s="18">
        <f t="shared" si="3"/>
        <v>0</v>
      </c>
      <c r="AD31" s="24">
        <f t="shared" si="4"/>
        <v>0</v>
      </c>
      <c r="AE31" s="5">
        <f>IF(AND($C31&gt;=0,$C31&lt;=入力!$S$36),AE$1,0)</f>
        <v>0</v>
      </c>
      <c r="AF31" s="3"/>
      <c r="AG31" s="3"/>
      <c r="AH31" s="3"/>
      <c r="AI31" s="3"/>
      <c r="AJ31" s="14"/>
      <c r="AK31" s="18">
        <f t="shared" si="9"/>
        <v>0</v>
      </c>
      <c r="AL31" s="24">
        <f t="shared" si="5"/>
        <v>0</v>
      </c>
      <c r="AM31" s="24">
        <f t="shared" si="6"/>
        <v>0</v>
      </c>
    </row>
    <row r="32" spans="2:39" x14ac:dyDescent="0.25">
      <c r="B32" s="5">
        <f t="shared" si="7"/>
        <v>45</v>
      </c>
      <c r="C32" s="3">
        <f t="shared" si="8"/>
        <v>-74</v>
      </c>
      <c r="D32" s="34"/>
      <c r="E32" s="3">
        <f>IF(親1!D32&lt;=833.3+42*親1!AS32,IF(AND(C32&gt;=0,C32&lt;=3),1.5*12,IF(AND(C32&gt;3,C32&lt;=15),1*12,0)),IF(AND(C32&gt;=0,C32&lt;=15),0.5*12,0))</f>
        <v>0</v>
      </c>
      <c r="F32" s="3"/>
      <c r="G32" s="3"/>
      <c r="H32" s="3"/>
      <c r="I32" s="14"/>
      <c r="J32" s="24">
        <f t="shared" si="0"/>
        <v>0</v>
      </c>
      <c r="K32" s="5"/>
      <c r="L32" s="3"/>
      <c r="M32" s="3">
        <f>IF(AND($C32&gt;=0,$C32&lt;=入力!$S$38),M$1,0)</f>
        <v>0</v>
      </c>
      <c r="N32" s="3">
        <f>IF(AND($C32&gt;=0,$C32&lt;=入力!$S$38),N$1,0)</f>
        <v>0</v>
      </c>
      <c r="O32" s="3">
        <f>IF(AND($C32&gt;=0,$C32&lt;=入力!$S$38),O$1,0)</f>
        <v>0</v>
      </c>
      <c r="P32" s="3">
        <f>IF(AND($C32&gt;=0,$C32&lt;=入力!$S$38),P$1,0)</f>
        <v>0</v>
      </c>
      <c r="Q32" s="3">
        <f>IF(AND($C32&gt;=0,$C32&lt;=入力!$S$38),Q$1,0)</f>
        <v>0</v>
      </c>
      <c r="R32" s="3"/>
      <c r="S32" s="14"/>
      <c r="T32" s="18">
        <f t="shared" si="1"/>
        <v>0</v>
      </c>
      <c r="U32" s="24">
        <f t="shared" si="2"/>
        <v>0</v>
      </c>
      <c r="V32" s="5"/>
      <c r="W32" s="3">
        <f>IF(AND($C32&gt;=10,$C32&lt;=入力!$S$38),W$1,0)</f>
        <v>0</v>
      </c>
      <c r="X32" s="3">
        <f>IFERROR(VLOOKUP($C32,学費計算!$C:$R,学費計算!H$1,0),0)</f>
        <v>0</v>
      </c>
      <c r="Y32" s="3">
        <f>IFERROR(VLOOKUP($C32,学費計算!$C:$R,学費計算!I$1,0),0)</f>
        <v>0</v>
      </c>
      <c r="Z32" s="3">
        <f>IFERROR(VLOOKUP($C32,学費計算!$C:$R,学費計算!J$1,0),0)</f>
        <v>0</v>
      </c>
      <c r="AA32" s="3">
        <f>IFERROR(VLOOKUP($C32,学費計算!$C:$R,学費計算!K$1,0),0)</f>
        <v>0</v>
      </c>
      <c r="AB32" s="14"/>
      <c r="AC32" s="18">
        <f t="shared" si="3"/>
        <v>0</v>
      </c>
      <c r="AD32" s="24">
        <f t="shared" si="4"/>
        <v>0</v>
      </c>
      <c r="AE32" s="5">
        <f>IF(AND($C32&gt;=0,$C32&lt;=入力!$S$36),AE$1,0)</f>
        <v>0</v>
      </c>
      <c r="AF32" s="3"/>
      <c r="AG32" s="3"/>
      <c r="AH32" s="3"/>
      <c r="AI32" s="3"/>
      <c r="AJ32" s="14"/>
      <c r="AK32" s="18">
        <f t="shared" si="9"/>
        <v>0</v>
      </c>
      <c r="AL32" s="24">
        <f t="shared" si="5"/>
        <v>0</v>
      </c>
      <c r="AM32" s="24">
        <f t="shared" si="6"/>
        <v>0</v>
      </c>
    </row>
    <row r="33" spans="2:39" x14ac:dyDescent="0.25">
      <c r="B33" s="5">
        <f t="shared" si="7"/>
        <v>46</v>
      </c>
      <c r="C33" s="3">
        <f t="shared" si="8"/>
        <v>-73</v>
      </c>
      <c r="D33" s="34"/>
      <c r="E33" s="3">
        <f>IF(親1!D33&lt;=833.3+42*親1!AS33,IF(AND(C33&gt;=0,C33&lt;=3),1.5*12,IF(AND(C33&gt;3,C33&lt;=15),1*12,0)),IF(AND(C33&gt;=0,C33&lt;=15),0.5*12,0))</f>
        <v>0</v>
      </c>
      <c r="F33" s="3"/>
      <c r="G33" s="3"/>
      <c r="H33" s="3"/>
      <c r="I33" s="14"/>
      <c r="J33" s="24">
        <f t="shared" si="0"/>
        <v>0</v>
      </c>
      <c r="K33" s="5"/>
      <c r="L33" s="3"/>
      <c r="M33" s="3">
        <f>IF(AND($C33&gt;=0,$C33&lt;=入力!$S$38),M$1,0)</f>
        <v>0</v>
      </c>
      <c r="N33" s="3">
        <f>IF(AND($C33&gt;=0,$C33&lt;=入力!$S$38),N$1,0)</f>
        <v>0</v>
      </c>
      <c r="O33" s="3">
        <f>IF(AND($C33&gt;=0,$C33&lt;=入力!$S$38),O$1,0)</f>
        <v>0</v>
      </c>
      <c r="P33" s="3">
        <f>IF(AND($C33&gt;=0,$C33&lt;=入力!$S$38),P$1,0)</f>
        <v>0</v>
      </c>
      <c r="Q33" s="3">
        <f>IF(AND($C33&gt;=0,$C33&lt;=入力!$S$38),Q$1,0)</f>
        <v>0</v>
      </c>
      <c r="R33" s="3"/>
      <c r="S33" s="14"/>
      <c r="T33" s="18">
        <f t="shared" si="1"/>
        <v>0</v>
      </c>
      <c r="U33" s="24">
        <f t="shared" si="2"/>
        <v>0</v>
      </c>
      <c r="V33" s="5"/>
      <c r="W33" s="3">
        <f>IF(AND($C33&gt;=10,$C33&lt;=入力!$S$38),W$1,0)</f>
        <v>0</v>
      </c>
      <c r="X33" s="3">
        <f>IFERROR(VLOOKUP($C33,学費計算!$C:$R,学費計算!H$1,0),0)</f>
        <v>0</v>
      </c>
      <c r="Y33" s="3">
        <f>IFERROR(VLOOKUP($C33,学費計算!$C:$R,学費計算!I$1,0),0)</f>
        <v>0</v>
      </c>
      <c r="Z33" s="3">
        <f>IFERROR(VLOOKUP($C33,学費計算!$C:$R,学費計算!J$1,0),0)</f>
        <v>0</v>
      </c>
      <c r="AA33" s="3">
        <f>IFERROR(VLOOKUP($C33,学費計算!$C:$R,学費計算!K$1,0),0)</f>
        <v>0</v>
      </c>
      <c r="AB33" s="14"/>
      <c r="AC33" s="18">
        <f t="shared" si="3"/>
        <v>0</v>
      </c>
      <c r="AD33" s="24">
        <f t="shared" si="4"/>
        <v>0</v>
      </c>
      <c r="AE33" s="5">
        <f>IF(AND($C33&gt;=0,$C33&lt;=入力!$S$36),AE$1,0)</f>
        <v>0</v>
      </c>
      <c r="AF33" s="3"/>
      <c r="AG33" s="3"/>
      <c r="AH33" s="3"/>
      <c r="AI33" s="3"/>
      <c r="AJ33" s="14"/>
      <c r="AK33" s="18">
        <f t="shared" si="9"/>
        <v>0</v>
      </c>
      <c r="AL33" s="24">
        <f t="shared" si="5"/>
        <v>0</v>
      </c>
      <c r="AM33" s="24">
        <f t="shared" si="6"/>
        <v>0</v>
      </c>
    </row>
    <row r="34" spans="2:39" x14ac:dyDescent="0.25">
      <c r="B34" s="5">
        <f t="shared" si="7"/>
        <v>47</v>
      </c>
      <c r="C34" s="3">
        <f t="shared" si="8"/>
        <v>-72</v>
      </c>
      <c r="D34" s="34"/>
      <c r="E34" s="3">
        <f>IF(親1!D34&lt;=833.3+42*親1!AS34,IF(AND(C34&gt;=0,C34&lt;=3),1.5*12,IF(AND(C34&gt;3,C34&lt;=15),1*12,0)),IF(AND(C34&gt;=0,C34&lt;=15),0.5*12,0))</f>
        <v>0</v>
      </c>
      <c r="F34" s="3"/>
      <c r="G34" s="3"/>
      <c r="H34" s="3"/>
      <c r="I34" s="14"/>
      <c r="J34" s="24">
        <f t="shared" si="0"/>
        <v>0</v>
      </c>
      <c r="K34" s="5"/>
      <c r="L34" s="3"/>
      <c r="M34" s="3">
        <f>IF(AND($C34&gt;=0,$C34&lt;=入力!$S$38),M$1,0)</f>
        <v>0</v>
      </c>
      <c r="N34" s="3">
        <f>IF(AND($C34&gt;=0,$C34&lt;=入力!$S$38),N$1,0)</f>
        <v>0</v>
      </c>
      <c r="O34" s="3">
        <f>IF(AND($C34&gt;=0,$C34&lt;=入力!$S$38),O$1,0)</f>
        <v>0</v>
      </c>
      <c r="P34" s="3">
        <f>IF(AND($C34&gt;=0,$C34&lt;=入力!$S$38),P$1,0)</f>
        <v>0</v>
      </c>
      <c r="Q34" s="3">
        <f>IF(AND($C34&gt;=0,$C34&lt;=入力!$S$38),Q$1,0)</f>
        <v>0</v>
      </c>
      <c r="R34" s="3"/>
      <c r="S34" s="14"/>
      <c r="T34" s="18">
        <f t="shared" si="1"/>
        <v>0</v>
      </c>
      <c r="U34" s="24">
        <f t="shared" si="2"/>
        <v>0</v>
      </c>
      <c r="V34" s="5"/>
      <c r="W34" s="3">
        <f>IF(AND($C34&gt;=10,$C34&lt;=入力!$S$38),W$1,0)</f>
        <v>0</v>
      </c>
      <c r="X34" s="3">
        <f>IFERROR(VLOOKUP($C34,学費計算!$C:$R,学費計算!H$1,0),0)</f>
        <v>0</v>
      </c>
      <c r="Y34" s="3">
        <f>IFERROR(VLOOKUP($C34,学費計算!$C:$R,学費計算!I$1,0),0)</f>
        <v>0</v>
      </c>
      <c r="Z34" s="3">
        <f>IFERROR(VLOOKUP($C34,学費計算!$C:$R,学費計算!J$1,0),0)</f>
        <v>0</v>
      </c>
      <c r="AA34" s="3">
        <f>IFERROR(VLOOKUP($C34,学費計算!$C:$R,学費計算!K$1,0),0)</f>
        <v>0</v>
      </c>
      <c r="AB34" s="14"/>
      <c r="AC34" s="18">
        <f t="shared" si="3"/>
        <v>0</v>
      </c>
      <c r="AD34" s="24">
        <f t="shared" si="4"/>
        <v>0</v>
      </c>
      <c r="AE34" s="5">
        <f>IF(AND($C34&gt;=0,$C34&lt;=入力!$S$36),AE$1,0)</f>
        <v>0</v>
      </c>
      <c r="AF34" s="3"/>
      <c r="AG34" s="3"/>
      <c r="AH34" s="3"/>
      <c r="AI34" s="3"/>
      <c r="AJ34" s="14"/>
      <c r="AK34" s="18">
        <f t="shared" si="9"/>
        <v>0</v>
      </c>
      <c r="AL34" s="24">
        <f t="shared" si="5"/>
        <v>0</v>
      </c>
      <c r="AM34" s="24">
        <f t="shared" si="6"/>
        <v>0</v>
      </c>
    </row>
    <row r="35" spans="2:39" x14ac:dyDescent="0.25">
      <c r="B35" s="5">
        <f t="shared" si="7"/>
        <v>48</v>
      </c>
      <c r="C35" s="3">
        <f t="shared" si="8"/>
        <v>-71</v>
      </c>
      <c r="D35" s="34"/>
      <c r="E35" s="3">
        <f>IF(親1!D35&lt;=833.3+42*親1!AS35,IF(AND(C35&gt;=0,C35&lt;=3),1.5*12,IF(AND(C35&gt;3,C35&lt;=15),1*12,0)),IF(AND(C35&gt;=0,C35&lt;=15),0.5*12,0))</f>
        <v>0</v>
      </c>
      <c r="F35" s="3"/>
      <c r="G35" s="3"/>
      <c r="H35" s="3"/>
      <c r="I35" s="14"/>
      <c r="J35" s="24">
        <f t="shared" si="0"/>
        <v>0</v>
      </c>
      <c r="K35" s="5"/>
      <c r="L35" s="3"/>
      <c r="M35" s="3">
        <f>IF(AND($C35&gt;=0,$C35&lt;=入力!$S$38),M$1,0)</f>
        <v>0</v>
      </c>
      <c r="N35" s="3">
        <f>IF(AND($C35&gt;=0,$C35&lt;=入力!$S$38),N$1,0)</f>
        <v>0</v>
      </c>
      <c r="O35" s="3">
        <f>IF(AND($C35&gt;=0,$C35&lt;=入力!$S$38),O$1,0)</f>
        <v>0</v>
      </c>
      <c r="P35" s="3">
        <f>IF(AND($C35&gt;=0,$C35&lt;=入力!$S$38),P$1,0)</f>
        <v>0</v>
      </c>
      <c r="Q35" s="3">
        <f>IF(AND($C35&gt;=0,$C35&lt;=入力!$S$38),Q$1,0)</f>
        <v>0</v>
      </c>
      <c r="R35" s="3"/>
      <c r="S35" s="14"/>
      <c r="T35" s="18">
        <f t="shared" si="1"/>
        <v>0</v>
      </c>
      <c r="U35" s="24">
        <f t="shared" si="2"/>
        <v>0</v>
      </c>
      <c r="V35" s="5"/>
      <c r="W35" s="3">
        <f>IF(AND($C35&gt;=10,$C35&lt;=入力!$S$38),W$1,0)</f>
        <v>0</v>
      </c>
      <c r="X35" s="3">
        <f>IFERROR(VLOOKUP($C35,学費計算!$C:$R,学費計算!H$1,0),0)</f>
        <v>0</v>
      </c>
      <c r="Y35" s="3">
        <f>IFERROR(VLOOKUP($C35,学費計算!$C:$R,学費計算!I$1,0),0)</f>
        <v>0</v>
      </c>
      <c r="Z35" s="3">
        <f>IFERROR(VLOOKUP($C35,学費計算!$C:$R,学費計算!J$1,0),0)</f>
        <v>0</v>
      </c>
      <c r="AA35" s="3">
        <f>IFERROR(VLOOKUP($C35,学費計算!$C:$R,学費計算!K$1,0),0)</f>
        <v>0</v>
      </c>
      <c r="AB35" s="14"/>
      <c r="AC35" s="18">
        <f t="shared" si="3"/>
        <v>0</v>
      </c>
      <c r="AD35" s="24">
        <f t="shared" si="4"/>
        <v>0</v>
      </c>
      <c r="AE35" s="5">
        <f>IF(AND($C35&gt;=0,$C35&lt;=入力!$S$36),AE$1,0)</f>
        <v>0</v>
      </c>
      <c r="AF35" s="3"/>
      <c r="AG35" s="3"/>
      <c r="AH35" s="3"/>
      <c r="AI35" s="3"/>
      <c r="AJ35" s="14"/>
      <c r="AK35" s="18">
        <f t="shared" si="9"/>
        <v>0</v>
      </c>
      <c r="AL35" s="24">
        <f t="shared" si="5"/>
        <v>0</v>
      </c>
      <c r="AM35" s="24">
        <f t="shared" si="6"/>
        <v>0</v>
      </c>
    </row>
    <row r="36" spans="2:39" x14ac:dyDescent="0.25">
      <c r="B36" s="5">
        <f t="shared" si="7"/>
        <v>49</v>
      </c>
      <c r="C36" s="3">
        <f t="shared" si="8"/>
        <v>-70</v>
      </c>
      <c r="D36" s="34"/>
      <c r="E36" s="3">
        <f>IF(親1!D36&lt;=833.3+42*親1!AS36,IF(AND(C36&gt;=0,C36&lt;=3),1.5*12,IF(AND(C36&gt;3,C36&lt;=15),1*12,0)),IF(AND(C36&gt;=0,C36&lt;=15),0.5*12,0))</f>
        <v>0</v>
      </c>
      <c r="F36" s="3"/>
      <c r="G36" s="3"/>
      <c r="H36" s="3"/>
      <c r="I36" s="14"/>
      <c r="J36" s="24">
        <f t="shared" si="0"/>
        <v>0</v>
      </c>
      <c r="K36" s="5"/>
      <c r="L36" s="3"/>
      <c r="M36" s="3">
        <f>IF(AND($C36&gt;=0,$C36&lt;=入力!$S$38),M$1,0)</f>
        <v>0</v>
      </c>
      <c r="N36" s="3">
        <f>IF(AND($C36&gt;=0,$C36&lt;=入力!$S$38),N$1,0)</f>
        <v>0</v>
      </c>
      <c r="O36" s="3">
        <f>IF(AND($C36&gt;=0,$C36&lt;=入力!$S$38),O$1,0)</f>
        <v>0</v>
      </c>
      <c r="P36" s="3">
        <f>IF(AND($C36&gt;=0,$C36&lt;=入力!$S$38),P$1,0)</f>
        <v>0</v>
      </c>
      <c r="Q36" s="3">
        <f>IF(AND($C36&gt;=0,$C36&lt;=入力!$S$38),Q$1,0)</f>
        <v>0</v>
      </c>
      <c r="R36" s="3"/>
      <c r="S36" s="14"/>
      <c r="T36" s="18">
        <f t="shared" si="1"/>
        <v>0</v>
      </c>
      <c r="U36" s="24">
        <f t="shared" si="2"/>
        <v>0</v>
      </c>
      <c r="V36" s="5"/>
      <c r="W36" s="3">
        <f>IF(AND($C36&gt;=10,$C36&lt;=入力!$S$38),W$1,0)</f>
        <v>0</v>
      </c>
      <c r="X36" s="3">
        <f>IFERROR(VLOOKUP($C36,学費計算!$C:$R,学費計算!H$1,0),0)</f>
        <v>0</v>
      </c>
      <c r="Y36" s="3">
        <f>IFERROR(VLOOKUP($C36,学費計算!$C:$R,学費計算!I$1,0),0)</f>
        <v>0</v>
      </c>
      <c r="Z36" s="3">
        <f>IFERROR(VLOOKUP($C36,学費計算!$C:$R,学費計算!J$1,0),0)</f>
        <v>0</v>
      </c>
      <c r="AA36" s="3">
        <f>IFERROR(VLOOKUP($C36,学費計算!$C:$R,学費計算!K$1,0),0)</f>
        <v>0</v>
      </c>
      <c r="AB36" s="14"/>
      <c r="AC36" s="18">
        <f t="shared" si="3"/>
        <v>0</v>
      </c>
      <c r="AD36" s="24">
        <f t="shared" si="4"/>
        <v>0</v>
      </c>
      <c r="AE36" s="5">
        <f>IF(AND($C36&gt;=0,$C36&lt;=入力!$S$36),AE$1,0)</f>
        <v>0</v>
      </c>
      <c r="AF36" s="3"/>
      <c r="AG36" s="3"/>
      <c r="AH36" s="3"/>
      <c r="AI36" s="3"/>
      <c r="AJ36" s="14"/>
      <c r="AK36" s="18">
        <f t="shared" si="9"/>
        <v>0</v>
      </c>
      <c r="AL36" s="24">
        <f t="shared" si="5"/>
        <v>0</v>
      </c>
      <c r="AM36" s="24">
        <f t="shared" si="6"/>
        <v>0</v>
      </c>
    </row>
    <row r="37" spans="2:39" x14ac:dyDescent="0.25">
      <c r="B37" s="5">
        <f t="shared" si="7"/>
        <v>50</v>
      </c>
      <c r="C37" s="3">
        <f t="shared" si="8"/>
        <v>-69</v>
      </c>
      <c r="D37" s="34"/>
      <c r="E37" s="3">
        <f>IF(親1!D37&lt;=833.3+42*親1!AS37,IF(AND(C37&gt;=0,C37&lt;=3),1.5*12,IF(AND(C37&gt;3,C37&lt;=15),1*12,0)),IF(AND(C37&gt;=0,C37&lt;=15),0.5*12,0))</f>
        <v>0</v>
      </c>
      <c r="F37" s="3"/>
      <c r="G37" s="3"/>
      <c r="H37" s="3"/>
      <c r="I37" s="14"/>
      <c r="J37" s="24">
        <f t="shared" si="0"/>
        <v>0</v>
      </c>
      <c r="K37" s="5"/>
      <c r="L37" s="3"/>
      <c r="M37" s="3">
        <f>IF(AND($C37&gt;=0,$C37&lt;=入力!$S$38),M$1,0)</f>
        <v>0</v>
      </c>
      <c r="N37" s="3">
        <f>IF(AND($C37&gt;=0,$C37&lt;=入力!$S$38),N$1,0)</f>
        <v>0</v>
      </c>
      <c r="O37" s="3">
        <f>IF(AND($C37&gt;=0,$C37&lt;=入力!$S$38),O$1,0)</f>
        <v>0</v>
      </c>
      <c r="P37" s="3">
        <f>IF(AND($C37&gt;=0,$C37&lt;=入力!$S$38),P$1,0)</f>
        <v>0</v>
      </c>
      <c r="Q37" s="3">
        <f>IF(AND($C37&gt;=0,$C37&lt;=入力!$S$38),Q$1,0)</f>
        <v>0</v>
      </c>
      <c r="R37" s="3"/>
      <c r="S37" s="14"/>
      <c r="T37" s="18">
        <f t="shared" si="1"/>
        <v>0</v>
      </c>
      <c r="U37" s="24">
        <f t="shared" si="2"/>
        <v>0</v>
      </c>
      <c r="V37" s="5"/>
      <c r="W37" s="3">
        <f>IF(AND($C37&gt;=10,$C37&lt;=入力!$S$38),W$1,0)</f>
        <v>0</v>
      </c>
      <c r="X37" s="3">
        <f>IFERROR(VLOOKUP($C37,学費計算!$C:$R,学費計算!H$1,0),0)</f>
        <v>0</v>
      </c>
      <c r="Y37" s="3">
        <f>IFERROR(VLOOKUP($C37,学費計算!$C:$R,学費計算!I$1,0),0)</f>
        <v>0</v>
      </c>
      <c r="Z37" s="3">
        <f>IFERROR(VLOOKUP($C37,学費計算!$C:$R,学費計算!J$1,0),0)</f>
        <v>0</v>
      </c>
      <c r="AA37" s="3">
        <f>IFERROR(VLOOKUP($C37,学費計算!$C:$R,学費計算!K$1,0),0)</f>
        <v>0</v>
      </c>
      <c r="AB37" s="14"/>
      <c r="AC37" s="18">
        <f t="shared" si="3"/>
        <v>0</v>
      </c>
      <c r="AD37" s="24">
        <f t="shared" si="4"/>
        <v>0</v>
      </c>
      <c r="AE37" s="5">
        <f>IF(AND($C37&gt;=0,$C37&lt;=入力!$S$36),AE$1,0)</f>
        <v>0</v>
      </c>
      <c r="AF37" s="3"/>
      <c r="AG37" s="3"/>
      <c r="AH37" s="3"/>
      <c r="AI37" s="3"/>
      <c r="AJ37" s="14"/>
      <c r="AK37" s="18">
        <f t="shared" si="9"/>
        <v>0</v>
      </c>
      <c r="AL37" s="24">
        <f t="shared" si="5"/>
        <v>0</v>
      </c>
      <c r="AM37" s="24">
        <f t="shared" si="6"/>
        <v>0</v>
      </c>
    </row>
    <row r="38" spans="2:39" x14ac:dyDescent="0.25">
      <c r="B38" s="5">
        <f t="shared" si="7"/>
        <v>51</v>
      </c>
      <c r="C38" s="3">
        <f t="shared" si="8"/>
        <v>-68</v>
      </c>
      <c r="D38" s="34"/>
      <c r="E38" s="3">
        <f>IF(親1!D38&lt;=833.3+42*親1!AS38,IF(AND(C38&gt;=0,C38&lt;=3),1.5*12,IF(AND(C38&gt;3,C38&lt;=15),1*12,0)),IF(AND(C38&gt;=0,C38&lt;=15),0.5*12,0))</f>
        <v>0</v>
      </c>
      <c r="F38" s="3"/>
      <c r="G38" s="3"/>
      <c r="H38" s="3"/>
      <c r="I38" s="14"/>
      <c r="J38" s="24">
        <f t="shared" si="0"/>
        <v>0</v>
      </c>
      <c r="K38" s="5"/>
      <c r="L38" s="3"/>
      <c r="M38" s="3">
        <f>IF(AND($C38&gt;=0,$C38&lt;=入力!$S$38),M$1,0)</f>
        <v>0</v>
      </c>
      <c r="N38" s="3">
        <f>IF(AND($C38&gt;=0,$C38&lt;=入力!$S$38),N$1,0)</f>
        <v>0</v>
      </c>
      <c r="O38" s="3">
        <f>IF(AND($C38&gt;=0,$C38&lt;=入力!$S$38),O$1,0)</f>
        <v>0</v>
      </c>
      <c r="P38" s="3">
        <f>IF(AND($C38&gt;=0,$C38&lt;=入力!$S$38),P$1,0)</f>
        <v>0</v>
      </c>
      <c r="Q38" s="3">
        <f>IF(AND($C38&gt;=0,$C38&lt;=入力!$S$38),Q$1,0)</f>
        <v>0</v>
      </c>
      <c r="R38" s="3"/>
      <c r="S38" s="14"/>
      <c r="T38" s="18">
        <f t="shared" ref="T38:T70" si="10">SUM(K38:S38)</f>
        <v>0</v>
      </c>
      <c r="U38" s="24">
        <f t="shared" si="2"/>
        <v>0</v>
      </c>
      <c r="V38" s="5"/>
      <c r="W38" s="3">
        <f>IF(AND($C38&gt;=10,$C38&lt;=入力!$S$38),W$1,0)</f>
        <v>0</v>
      </c>
      <c r="X38" s="3">
        <f>IFERROR(VLOOKUP($C38,学費計算!$C:$R,学費計算!H$1,0),0)</f>
        <v>0</v>
      </c>
      <c r="Y38" s="3">
        <f>IFERROR(VLOOKUP($C38,学費計算!$C:$R,学費計算!I$1,0),0)</f>
        <v>0</v>
      </c>
      <c r="Z38" s="3">
        <f>IFERROR(VLOOKUP($C38,学費計算!$C:$R,学費計算!J$1,0),0)</f>
        <v>0</v>
      </c>
      <c r="AA38" s="3">
        <f>IFERROR(VLOOKUP($C38,学費計算!$C:$R,学費計算!K$1,0),0)</f>
        <v>0</v>
      </c>
      <c r="AB38" s="14"/>
      <c r="AC38" s="18">
        <f t="shared" si="3"/>
        <v>0</v>
      </c>
      <c r="AD38" s="24">
        <f t="shared" si="4"/>
        <v>0</v>
      </c>
      <c r="AE38" s="5">
        <f>IF(AND($C38&gt;=0,$C38&lt;=入力!$S$36),AE$1,0)</f>
        <v>0</v>
      </c>
      <c r="AF38" s="3"/>
      <c r="AG38" s="3"/>
      <c r="AH38" s="3"/>
      <c r="AI38" s="3"/>
      <c r="AJ38" s="14"/>
      <c r="AK38" s="18">
        <f t="shared" si="9"/>
        <v>0</v>
      </c>
      <c r="AL38" s="24">
        <f t="shared" si="5"/>
        <v>0</v>
      </c>
      <c r="AM38" s="24">
        <f t="shared" ref="AM38:AM69" si="11">AL38+AM37</f>
        <v>0</v>
      </c>
    </row>
    <row r="39" spans="2:39" x14ac:dyDescent="0.25">
      <c r="B39" s="5">
        <f t="shared" ref="B39:B70" si="12">B38+1</f>
        <v>52</v>
      </c>
      <c r="C39" s="3">
        <f t="shared" ref="C39:C70" si="13">C38+1</f>
        <v>-67</v>
      </c>
      <c r="D39" s="34"/>
      <c r="E39" s="3">
        <f>IF(親1!D39&lt;=833.3+42*親1!AS39,IF(AND(C39&gt;=0,C39&lt;=3),1.5*12,IF(AND(C39&gt;3,C39&lt;=15),1*12,0)),IF(AND(C39&gt;=0,C39&lt;=15),0.5*12,0))</f>
        <v>0</v>
      </c>
      <c r="F39" s="3"/>
      <c r="G39" s="3"/>
      <c r="H39" s="3"/>
      <c r="I39" s="14"/>
      <c r="J39" s="24">
        <f t="shared" si="0"/>
        <v>0</v>
      </c>
      <c r="K39" s="5"/>
      <c r="L39" s="3"/>
      <c r="M39" s="3">
        <f>IF(AND($C39&gt;=0,$C39&lt;=入力!$S$38),M$1,0)</f>
        <v>0</v>
      </c>
      <c r="N39" s="3">
        <f>IF(AND($C39&gt;=0,$C39&lt;=入力!$S$38),N$1,0)</f>
        <v>0</v>
      </c>
      <c r="O39" s="3">
        <f>IF(AND($C39&gt;=0,$C39&lt;=入力!$S$38),O$1,0)</f>
        <v>0</v>
      </c>
      <c r="P39" s="3">
        <f>IF(AND($C39&gt;=0,$C39&lt;=入力!$S$38),P$1,0)</f>
        <v>0</v>
      </c>
      <c r="Q39" s="3">
        <f>IF(AND($C39&gt;=0,$C39&lt;=入力!$S$38),Q$1,0)</f>
        <v>0</v>
      </c>
      <c r="R39" s="3"/>
      <c r="S39" s="14"/>
      <c r="T39" s="18">
        <f t="shared" si="10"/>
        <v>0</v>
      </c>
      <c r="U39" s="24">
        <f t="shared" si="2"/>
        <v>0</v>
      </c>
      <c r="V39" s="5"/>
      <c r="W39" s="3">
        <f>IF(AND($C39&gt;=10,$C39&lt;=入力!$S$38),W$1,0)</f>
        <v>0</v>
      </c>
      <c r="X39" s="3">
        <f>IFERROR(VLOOKUP($C39,学費計算!$C:$R,学費計算!H$1,0),0)</f>
        <v>0</v>
      </c>
      <c r="Y39" s="3">
        <f>IFERROR(VLOOKUP($C39,学費計算!$C:$R,学費計算!I$1,0),0)</f>
        <v>0</v>
      </c>
      <c r="Z39" s="3">
        <f>IFERROR(VLOOKUP($C39,学費計算!$C:$R,学費計算!J$1,0),0)</f>
        <v>0</v>
      </c>
      <c r="AA39" s="3">
        <f>IFERROR(VLOOKUP($C39,学費計算!$C:$R,学費計算!K$1,0),0)</f>
        <v>0</v>
      </c>
      <c r="AB39" s="14"/>
      <c r="AC39" s="18">
        <f t="shared" si="3"/>
        <v>0</v>
      </c>
      <c r="AD39" s="24">
        <f t="shared" si="4"/>
        <v>0</v>
      </c>
      <c r="AE39" s="5">
        <f>IF(AND($C39&gt;=0,$C39&lt;=入力!$S$36),AE$1,0)</f>
        <v>0</v>
      </c>
      <c r="AF39" s="3"/>
      <c r="AG39" s="3"/>
      <c r="AH39" s="3"/>
      <c r="AI39" s="3"/>
      <c r="AJ39" s="14"/>
      <c r="AK39" s="18">
        <f t="shared" si="9"/>
        <v>0</v>
      </c>
      <c r="AL39" s="24">
        <f t="shared" si="5"/>
        <v>0</v>
      </c>
      <c r="AM39" s="24">
        <f t="shared" si="11"/>
        <v>0</v>
      </c>
    </row>
    <row r="40" spans="2:39" x14ac:dyDescent="0.25">
      <c r="B40" s="5">
        <f t="shared" si="12"/>
        <v>53</v>
      </c>
      <c r="C40" s="3">
        <f t="shared" si="13"/>
        <v>-66</v>
      </c>
      <c r="D40" s="34"/>
      <c r="E40" s="3">
        <f>IF(親1!D40&lt;=833.3+42*親1!AS40,IF(AND(C40&gt;=0,C40&lt;=3),1.5*12,IF(AND(C40&gt;3,C40&lt;=15),1*12,0)),IF(AND(C40&gt;=0,C40&lt;=15),0.5*12,0))</f>
        <v>0</v>
      </c>
      <c r="F40" s="3"/>
      <c r="G40" s="3"/>
      <c r="H40" s="3"/>
      <c r="I40" s="14"/>
      <c r="J40" s="24">
        <f t="shared" ref="J40:J70" si="14">SUM(E40:I40)</f>
        <v>0</v>
      </c>
      <c r="K40" s="5"/>
      <c r="L40" s="3"/>
      <c r="M40" s="3">
        <f>IF(AND($C40&gt;=0,$C40&lt;=入力!$S$38),M$1,0)</f>
        <v>0</v>
      </c>
      <c r="N40" s="3">
        <f>IF(AND($C40&gt;=0,$C40&lt;=入力!$S$38),N$1,0)</f>
        <v>0</v>
      </c>
      <c r="O40" s="3">
        <f>IF(AND($C40&gt;=0,$C40&lt;=入力!$S$38),O$1,0)</f>
        <v>0</v>
      </c>
      <c r="P40" s="3">
        <f>IF(AND($C40&gt;=0,$C40&lt;=入力!$S$38),P$1,0)</f>
        <v>0</v>
      </c>
      <c r="Q40" s="3">
        <f>IF(AND($C40&gt;=0,$C40&lt;=入力!$S$38),Q$1,0)</f>
        <v>0</v>
      </c>
      <c r="R40" s="3"/>
      <c r="S40" s="14"/>
      <c r="T40" s="18">
        <f t="shared" si="10"/>
        <v>0</v>
      </c>
      <c r="U40" s="24">
        <f t="shared" si="2"/>
        <v>0</v>
      </c>
      <c r="V40" s="5"/>
      <c r="W40" s="3">
        <f>IF(AND($C40&gt;=10,$C40&lt;=入力!$S$38),W$1,0)</f>
        <v>0</v>
      </c>
      <c r="X40" s="3">
        <f>IFERROR(VLOOKUP($C40,学費計算!$C:$R,学費計算!H$1,0),0)</f>
        <v>0</v>
      </c>
      <c r="Y40" s="3">
        <f>IFERROR(VLOOKUP($C40,学費計算!$C:$R,学費計算!I$1,0),0)</f>
        <v>0</v>
      </c>
      <c r="Z40" s="3">
        <f>IFERROR(VLOOKUP($C40,学費計算!$C:$R,学費計算!J$1,0),0)</f>
        <v>0</v>
      </c>
      <c r="AA40" s="3">
        <f>IFERROR(VLOOKUP($C40,学費計算!$C:$R,学費計算!K$1,0),0)</f>
        <v>0</v>
      </c>
      <c r="AB40" s="14"/>
      <c r="AC40" s="18">
        <f t="shared" si="3"/>
        <v>0</v>
      </c>
      <c r="AD40" s="24">
        <f t="shared" si="4"/>
        <v>0</v>
      </c>
      <c r="AE40" s="5">
        <f>IF(AND($C40&gt;=0,$C40&lt;=入力!$S$36),AE$1,0)</f>
        <v>0</v>
      </c>
      <c r="AF40" s="3"/>
      <c r="AG40" s="3"/>
      <c r="AH40" s="3"/>
      <c r="AI40" s="3"/>
      <c r="AJ40" s="14"/>
      <c r="AK40" s="18">
        <f t="shared" si="9"/>
        <v>0</v>
      </c>
      <c r="AL40" s="24">
        <f t="shared" si="5"/>
        <v>0</v>
      </c>
      <c r="AM40" s="24">
        <f t="shared" si="11"/>
        <v>0</v>
      </c>
    </row>
    <row r="41" spans="2:39" x14ac:dyDescent="0.25">
      <c r="B41" s="5">
        <f t="shared" si="12"/>
        <v>54</v>
      </c>
      <c r="C41" s="3">
        <f t="shared" si="13"/>
        <v>-65</v>
      </c>
      <c r="D41" s="34"/>
      <c r="E41" s="3">
        <f>IF(親1!D41&lt;=833.3+42*親1!AS41,IF(AND(C41&gt;=0,C41&lt;=3),1.5*12,IF(AND(C41&gt;3,C41&lt;=15),1*12,0)),IF(AND(C41&gt;=0,C41&lt;=15),0.5*12,0))</f>
        <v>0</v>
      </c>
      <c r="F41" s="3"/>
      <c r="G41" s="3"/>
      <c r="H41" s="3"/>
      <c r="I41" s="14"/>
      <c r="J41" s="24">
        <f t="shared" si="14"/>
        <v>0</v>
      </c>
      <c r="K41" s="5"/>
      <c r="L41" s="3"/>
      <c r="M41" s="3">
        <f>IF(AND($C41&gt;=0,$C41&lt;=入力!$S$38),M$1,0)</f>
        <v>0</v>
      </c>
      <c r="N41" s="3">
        <f>IF(AND($C41&gt;=0,$C41&lt;=入力!$S$38),N$1,0)</f>
        <v>0</v>
      </c>
      <c r="O41" s="3">
        <f>IF(AND($C41&gt;=0,$C41&lt;=入力!$S$38),O$1,0)</f>
        <v>0</v>
      </c>
      <c r="P41" s="3">
        <f>IF(AND($C41&gt;=0,$C41&lt;=入力!$S$38),P$1,0)</f>
        <v>0</v>
      </c>
      <c r="Q41" s="3">
        <f>IF(AND($C41&gt;=0,$C41&lt;=入力!$S$38),Q$1,0)</f>
        <v>0</v>
      </c>
      <c r="R41" s="3"/>
      <c r="S41" s="14"/>
      <c r="T41" s="18">
        <f t="shared" si="10"/>
        <v>0</v>
      </c>
      <c r="U41" s="24">
        <f t="shared" si="2"/>
        <v>0</v>
      </c>
      <c r="V41" s="5"/>
      <c r="W41" s="3">
        <f>IF(AND($C41&gt;=10,$C41&lt;=入力!$S$38),W$1,0)</f>
        <v>0</v>
      </c>
      <c r="X41" s="3">
        <f>IFERROR(VLOOKUP($C41,学費計算!$C:$R,学費計算!H$1,0),0)</f>
        <v>0</v>
      </c>
      <c r="Y41" s="3">
        <f>IFERROR(VLOOKUP($C41,学費計算!$C:$R,学費計算!I$1,0),0)</f>
        <v>0</v>
      </c>
      <c r="Z41" s="3">
        <f>IFERROR(VLOOKUP($C41,学費計算!$C:$R,学費計算!J$1,0),0)</f>
        <v>0</v>
      </c>
      <c r="AA41" s="3">
        <f>IFERROR(VLOOKUP($C41,学費計算!$C:$R,学費計算!K$1,0),0)</f>
        <v>0</v>
      </c>
      <c r="AB41" s="14"/>
      <c r="AC41" s="18">
        <f t="shared" si="3"/>
        <v>0</v>
      </c>
      <c r="AD41" s="24">
        <f t="shared" si="4"/>
        <v>0</v>
      </c>
      <c r="AE41" s="5">
        <f>IF(AND($C41&gt;=0,$C41&lt;=入力!$S$36),AE$1,0)</f>
        <v>0</v>
      </c>
      <c r="AF41" s="3"/>
      <c r="AG41" s="3"/>
      <c r="AH41" s="3"/>
      <c r="AI41" s="3"/>
      <c r="AJ41" s="14"/>
      <c r="AK41" s="18">
        <f t="shared" si="9"/>
        <v>0</v>
      </c>
      <c r="AL41" s="24">
        <f t="shared" si="5"/>
        <v>0</v>
      </c>
      <c r="AM41" s="24">
        <f t="shared" si="11"/>
        <v>0</v>
      </c>
    </row>
    <row r="42" spans="2:39" x14ac:dyDescent="0.25">
      <c r="B42" s="5">
        <f t="shared" si="12"/>
        <v>55</v>
      </c>
      <c r="C42" s="3">
        <f t="shared" si="13"/>
        <v>-64</v>
      </c>
      <c r="D42" s="34"/>
      <c r="E42" s="3">
        <f>IF(親1!D42&lt;=833.3+42*親1!AS42,IF(AND(C42&gt;=0,C42&lt;=3),1.5*12,IF(AND(C42&gt;3,C42&lt;=15),1*12,0)),IF(AND(C42&gt;=0,C42&lt;=15),0.5*12,0))</f>
        <v>0</v>
      </c>
      <c r="F42" s="3"/>
      <c r="G42" s="3"/>
      <c r="H42" s="3"/>
      <c r="I42" s="14"/>
      <c r="J42" s="24">
        <f t="shared" si="14"/>
        <v>0</v>
      </c>
      <c r="K42" s="5"/>
      <c r="L42" s="3"/>
      <c r="M42" s="3">
        <f>IF(AND($C42&gt;=0,$C42&lt;=入力!$S$38),M$1,0)</f>
        <v>0</v>
      </c>
      <c r="N42" s="3">
        <f>IF(AND($C42&gt;=0,$C42&lt;=入力!$S$38),N$1,0)</f>
        <v>0</v>
      </c>
      <c r="O42" s="3">
        <f>IF(AND($C42&gt;=0,$C42&lt;=入力!$S$38),O$1,0)</f>
        <v>0</v>
      </c>
      <c r="P42" s="3">
        <f>IF(AND($C42&gt;=0,$C42&lt;=入力!$S$38),P$1,0)</f>
        <v>0</v>
      </c>
      <c r="Q42" s="3">
        <f>IF(AND($C42&gt;=0,$C42&lt;=入力!$S$38),Q$1,0)</f>
        <v>0</v>
      </c>
      <c r="R42" s="3"/>
      <c r="S42" s="14"/>
      <c r="T42" s="18">
        <f t="shared" si="10"/>
        <v>0</v>
      </c>
      <c r="U42" s="24">
        <f t="shared" si="2"/>
        <v>0</v>
      </c>
      <c r="V42" s="5"/>
      <c r="W42" s="3">
        <f>IF(AND($C42&gt;=10,$C42&lt;=入力!$S$38),W$1,0)</f>
        <v>0</v>
      </c>
      <c r="X42" s="3">
        <f>IFERROR(VLOOKUP($C42,学費計算!$C:$R,学費計算!H$1,0),0)</f>
        <v>0</v>
      </c>
      <c r="Y42" s="3">
        <f>IFERROR(VLOOKUP($C42,学費計算!$C:$R,学費計算!I$1,0),0)</f>
        <v>0</v>
      </c>
      <c r="Z42" s="3">
        <f>IFERROR(VLOOKUP($C42,学費計算!$C:$R,学費計算!J$1,0),0)</f>
        <v>0</v>
      </c>
      <c r="AA42" s="3">
        <f>IFERROR(VLOOKUP($C42,学費計算!$C:$R,学費計算!K$1,0),0)</f>
        <v>0</v>
      </c>
      <c r="AB42" s="14"/>
      <c r="AC42" s="18">
        <f t="shared" si="3"/>
        <v>0</v>
      </c>
      <c r="AD42" s="24">
        <f t="shared" si="4"/>
        <v>0</v>
      </c>
      <c r="AE42" s="5">
        <f>IF(AND($C42&gt;=0,$C42&lt;=入力!$S$36),AE$1,0)</f>
        <v>0</v>
      </c>
      <c r="AF42" s="3"/>
      <c r="AG42" s="3"/>
      <c r="AH42" s="3"/>
      <c r="AI42" s="3"/>
      <c r="AJ42" s="14"/>
      <c r="AK42" s="18">
        <f t="shared" si="9"/>
        <v>0</v>
      </c>
      <c r="AL42" s="24">
        <f t="shared" si="5"/>
        <v>0</v>
      </c>
      <c r="AM42" s="24">
        <f t="shared" si="11"/>
        <v>0</v>
      </c>
    </row>
    <row r="43" spans="2:39" x14ac:dyDescent="0.25">
      <c r="B43" s="5">
        <f t="shared" si="12"/>
        <v>56</v>
      </c>
      <c r="C43" s="3">
        <f t="shared" si="13"/>
        <v>-63</v>
      </c>
      <c r="D43" s="34"/>
      <c r="E43" s="3">
        <f>IF(親1!D43&lt;=833.3+42*親1!AS43,IF(AND(C43&gt;=0,C43&lt;=3),1.5*12,IF(AND(C43&gt;3,C43&lt;=15),1*12,0)),IF(AND(C43&gt;=0,C43&lt;=15),0.5*12,0))</f>
        <v>0</v>
      </c>
      <c r="F43" s="3"/>
      <c r="G43" s="3"/>
      <c r="H43" s="3"/>
      <c r="I43" s="14"/>
      <c r="J43" s="24">
        <f t="shared" si="14"/>
        <v>0</v>
      </c>
      <c r="K43" s="5"/>
      <c r="L43" s="3"/>
      <c r="M43" s="3">
        <f>IF(AND($C43&gt;=0,$C43&lt;=入力!$S$38),M$1,0)</f>
        <v>0</v>
      </c>
      <c r="N43" s="3">
        <f>IF(AND($C43&gt;=0,$C43&lt;=入力!$S$38),N$1,0)</f>
        <v>0</v>
      </c>
      <c r="O43" s="3">
        <f>IF(AND($C43&gt;=0,$C43&lt;=入力!$S$38),O$1,0)</f>
        <v>0</v>
      </c>
      <c r="P43" s="3">
        <f>IF(AND($C43&gt;=0,$C43&lt;=入力!$S$38),P$1,0)</f>
        <v>0</v>
      </c>
      <c r="Q43" s="3">
        <f>IF(AND($C43&gt;=0,$C43&lt;=入力!$S$38),Q$1,0)</f>
        <v>0</v>
      </c>
      <c r="R43" s="3"/>
      <c r="S43" s="14"/>
      <c r="T43" s="18">
        <f t="shared" si="10"/>
        <v>0</v>
      </c>
      <c r="U43" s="24">
        <f t="shared" si="2"/>
        <v>0</v>
      </c>
      <c r="V43" s="5"/>
      <c r="W43" s="3">
        <f>IF(AND($C43&gt;=10,$C43&lt;=入力!$S$38),W$1,0)</f>
        <v>0</v>
      </c>
      <c r="X43" s="3">
        <f>IFERROR(VLOOKUP($C43,学費計算!$C:$R,学費計算!H$1,0),0)</f>
        <v>0</v>
      </c>
      <c r="Y43" s="3">
        <f>IFERROR(VLOOKUP($C43,学費計算!$C:$R,学費計算!I$1,0),0)</f>
        <v>0</v>
      </c>
      <c r="Z43" s="3">
        <f>IFERROR(VLOOKUP($C43,学費計算!$C:$R,学費計算!J$1,0),0)</f>
        <v>0</v>
      </c>
      <c r="AA43" s="3">
        <f>IFERROR(VLOOKUP($C43,学費計算!$C:$R,学費計算!K$1,0),0)</f>
        <v>0</v>
      </c>
      <c r="AB43" s="14"/>
      <c r="AC43" s="18">
        <f t="shared" si="3"/>
        <v>0</v>
      </c>
      <c r="AD43" s="24">
        <f t="shared" si="4"/>
        <v>0</v>
      </c>
      <c r="AE43" s="5">
        <f>IF(AND($C43&gt;=0,$C43&lt;=入力!$S$36),AE$1,0)</f>
        <v>0</v>
      </c>
      <c r="AF43" s="3"/>
      <c r="AG43" s="3"/>
      <c r="AH43" s="3"/>
      <c r="AI43" s="3"/>
      <c r="AJ43" s="14"/>
      <c r="AK43" s="18">
        <f t="shared" si="9"/>
        <v>0</v>
      </c>
      <c r="AL43" s="24">
        <f t="shared" si="5"/>
        <v>0</v>
      </c>
      <c r="AM43" s="24">
        <f t="shared" si="11"/>
        <v>0</v>
      </c>
    </row>
    <row r="44" spans="2:39" x14ac:dyDescent="0.25">
      <c r="B44" s="5">
        <f t="shared" si="12"/>
        <v>57</v>
      </c>
      <c r="C44" s="3">
        <f t="shared" si="13"/>
        <v>-62</v>
      </c>
      <c r="D44" s="34"/>
      <c r="E44" s="3">
        <f>IF(親1!D44&lt;=833.3+42*親1!AS44,IF(AND(C44&gt;=0,C44&lt;=3),1.5*12,IF(AND(C44&gt;3,C44&lt;=15),1*12,0)),IF(AND(C44&gt;=0,C44&lt;=15),0.5*12,0))</f>
        <v>0</v>
      </c>
      <c r="F44" s="3"/>
      <c r="G44" s="3"/>
      <c r="H44" s="3"/>
      <c r="I44" s="14"/>
      <c r="J44" s="24">
        <f t="shared" si="14"/>
        <v>0</v>
      </c>
      <c r="K44" s="5"/>
      <c r="L44" s="3"/>
      <c r="M44" s="3">
        <f>IF(AND($C44&gt;=0,$C44&lt;=入力!$S$38),M$1,0)</f>
        <v>0</v>
      </c>
      <c r="N44" s="3">
        <f>IF(AND($C44&gt;=0,$C44&lt;=入力!$S$38),N$1,0)</f>
        <v>0</v>
      </c>
      <c r="O44" s="3">
        <f>IF(AND($C44&gt;=0,$C44&lt;=入力!$S$38),O$1,0)</f>
        <v>0</v>
      </c>
      <c r="P44" s="3">
        <f>IF(AND($C44&gt;=0,$C44&lt;=入力!$S$38),P$1,0)</f>
        <v>0</v>
      </c>
      <c r="Q44" s="3">
        <f>IF(AND($C44&gt;=0,$C44&lt;=入力!$S$38),Q$1,0)</f>
        <v>0</v>
      </c>
      <c r="R44" s="3"/>
      <c r="S44" s="14"/>
      <c r="T44" s="18">
        <f t="shared" si="10"/>
        <v>0</v>
      </c>
      <c r="U44" s="24">
        <f t="shared" si="2"/>
        <v>0</v>
      </c>
      <c r="V44" s="5"/>
      <c r="W44" s="3">
        <f>IF(AND($C44&gt;=10,$C44&lt;=入力!$S$38),W$1,0)</f>
        <v>0</v>
      </c>
      <c r="X44" s="3">
        <f>IFERROR(VLOOKUP($C44,学費計算!$C:$R,学費計算!H$1,0),0)</f>
        <v>0</v>
      </c>
      <c r="Y44" s="3">
        <f>IFERROR(VLOOKUP($C44,学費計算!$C:$R,学費計算!I$1,0),0)</f>
        <v>0</v>
      </c>
      <c r="Z44" s="3">
        <f>IFERROR(VLOOKUP($C44,学費計算!$C:$R,学費計算!J$1,0),0)</f>
        <v>0</v>
      </c>
      <c r="AA44" s="3">
        <f>IFERROR(VLOOKUP($C44,学費計算!$C:$R,学費計算!K$1,0),0)</f>
        <v>0</v>
      </c>
      <c r="AB44" s="14"/>
      <c r="AC44" s="18">
        <f t="shared" si="3"/>
        <v>0</v>
      </c>
      <c r="AD44" s="24">
        <f t="shared" si="4"/>
        <v>0</v>
      </c>
      <c r="AE44" s="5">
        <f>IF(AND($C44&gt;=0,$C44&lt;=入力!$S$36),AE$1,0)</f>
        <v>0</v>
      </c>
      <c r="AF44" s="3"/>
      <c r="AG44" s="3"/>
      <c r="AH44" s="3"/>
      <c r="AI44" s="3"/>
      <c r="AJ44" s="14"/>
      <c r="AK44" s="18">
        <f t="shared" si="9"/>
        <v>0</v>
      </c>
      <c r="AL44" s="24">
        <f t="shared" si="5"/>
        <v>0</v>
      </c>
      <c r="AM44" s="24">
        <f t="shared" si="11"/>
        <v>0</v>
      </c>
    </row>
    <row r="45" spans="2:39" x14ac:dyDescent="0.25">
      <c r="B45" s="5">
        <f t="shared" si="12"/>
        <v>58</v>
      </c>
      <c r="C45" s="3">
        <f t="shared" si="13"/>
        <v>-61</v>
      </c>
      <c r="D45" s="34"/>
      <c r="E45" s="3">
        <f>IF(親1!D45&lt;=833.3+42*親1!AS45,IF(AND(C45&gt;=0,C45&lt;=3),1.5*12,IF(AND(C45&gt;3,C45&lt;=15),1*12,0)),IF(AND(C45&gt;=0,C45&lt;=15),0.5*12,0))</f>
        <v>0</v>
      </c>
      <c r="F45" s="3"/>
      <c r="G45" s="3"/>
      <c r="H45" s="3"/>
      <c r="I45" s="14"/>
      <c r="J45" s="24">
        <f t="shared" si="14"/>
        <v>0</v>
      </c>
      <c r="K45" s="5"/>
      <c r="L45" s="3"/>
      <c r="M45" s="3">
        <f>IF(AND($C45&gt;=0,$C45&lt;=入力!$S$38),M$1,0)</f>
        <v>0</v>
      </c>
      <c r="N45" s="3">
        <f>IF(AND($C45&gt;=0,$C45&lt;=入力!$S$38),N$1,0)</f>
        <v>0</v>
      </c>
      <c r="O45" s="3">
        <f>IF(AND($C45&gt;=0,$C45&lt;=入力!$S$38),O$1,0)</f>
        <v>0</v>
      </c>
      <c r="P45" s="3">
        <f>IF(AND($C45&gt;=0,$C45&lt;=入力!$S$38),P$1,0)</f>
        <v>0</v>
      </c>
      <c r="Q45" s="3">
        <f>IF(AND($C45&gt;=0,$C45&lt;=入力!$S$38),Q$1,0)</f>
        <v>0</v>
      </c>
      <c r="R45" s="3"/>
      <c r="S45" s="14"/>
      <c r="T45" s="18">
        <f t="shared" si="10"/>
        <v>0</v>
      </c>
      <c r="U45" s="24">
        <f t="shared" si="2"/>
        <v>0</v>
      </c>
      <c r="V45" s="5"/>
      <c r="W45" s="3">
        <f>IF(AND($C45&gt;=10,$C45&lt;=入力!$S$38),W$1,0)</f>
        <v>0</v>
      </c>
      <c r="X45" s="3">
        <f>IFERROR(VLOOKUP($C45,学費計算!$C:$R,学費計算!H$1,0),0)</f>
        <v>0</v>
      </c>
      <c r="Y45" s="3">
        <f>IFERROR(VLOOKUP($C45,学費計算!$C:$R,学費計算!I$1,0),0)</f>
        <v>0</v>
      </c>
      <c r="Z45" s="3">
        <f>IFERROR(VLOOKUP($C45,学費計算!$C:$R,学費計算!J$1,0),0)</f>
        <v>0</v>
      </c>
      <c r="AA45" s="3">
        <f>IFERROR(VLOOKUP($C45,学費計算!$C:$R,学費計算!K$1,0),0)</f>
        <v>0</v>
      </c>
      <c r="AB45" s="14"/>
      <c r="AC45" s="18">
        <f t="shared" si="3"/>
        <v>0</v>
      </c>
      <c r="AD45" s="24">
        <f t="shared" si="4"/>
        <v>0</v>
      </c>
      <c r="AE45" s="5">
        <f>IF(AND($C45&gt;=0,$C45&lt;=入力!$S$36),AE$1,0)</f>
        <v>0</v>
      </c>
      <c r="AF45" s="3"/>
      <c r="AG45" s="3"/>
      <c r="AH45" s="3"/>
      <c r="AI45" s="3"/>
      <c r="AJ45" s="14"/>
      <c r="AK45" s="18">
        <f t="shared" si="9"/>
        <v>0</v>
      </c>
      <c r="AL45" s="24">
        <f t="shared" si="5"/>
        <v>0</v>
      </c>
      <c r="AM45" s="24">
        <f t="shared" si="11"/>
        <v>0</v>
      </c>
    </row>
    <row r="46" spans="2:39" x14ac:dyDescent="0.25">
      <c r="B46" s="5">
        <f t="shared" si="12"/>
        <v>59</v>
      </c>
      <c r="C46" s="3">
        <f t="shared" si="13"/>
        <v>-60</v>
      </c>
      <c r="D46" s="34"/>
      <c r="E46" s="3">
        <f>IF(親1!D46&lt;=833.3+42*親1!AS46,IF(AND(C46&gt;=0,C46&lt;=3),1.5*12,IF(AND(C46&gt;3,C46&lt;=15),1*12,0)),IF(AND(C46&gt;=0,C46&lt;=15),0.5*12,0))</f>
        <v>0</v>
      </c>
      <c r="F46" s="3"/>
      <c r="G46" s="3"/>
      <c r="H46" s="3"/>
      <c r="I46" s="14"/>
      <c r="J46" s="24">
        <f t="shared" si="14"/>
        <v>0</v>
      </c>
      <c r="K46" s="5"/>
      <c r="L46" s="3"/>
      <c r="M46" s="3">
        <f>IF(AND($C46&gt;=0,$C46&lt;=入力!$S$38),M$1,0)</f>
        <v>0</v>
      </c>
      <c r="N46" s="3">
        <f>IF(AND($C46&gt;=0,$C46&lt;=入力!$S$38),N$1,0)</f>
        <v>0</v>
      </c>
      <c r="O46" s="3">
        <f>IF(AND($C46&gt;=0,$C46&lt;=入力!$S$38),O$1,0)</f>
        <v>0</v>
      </c>
      <c r="P46" s="3">
        <f>IF(AND($C46&gt;=0,$C46&lt;=入力!$S$38),P$1,0)</f>
        <v>0</v>
      </c>
      <c r="Q46" s="3">
        <f>IF(AND($C46&gt;=0,$C46&lt;=入力!$S$38),Q$1,0)</f>
        <v>0</v>
      </c>
      <c r="R46" s="3"/>
      <c r="S46" s="14"/>
      <c r="T46" s="18">
        <f t="shared" si="10"/>
        <v>0</v>
      </c>
      <c r="U46" s="24">
        <f t="shared" si="2"/>
        <v>0</v>
      </c>
      <c r="V46" s="5"/>
      <c r="W46" s="3">
        <f>IF(AND($C46&gt;=10,$C46&lt;=入力!$S$38),W$1,0)</f>
        <v>0</v>
      </c>
      <c r="X46" s="3">
        <f>IFERROR(VLOOKUP($C46,学費計算!$C:$R,学費計算!H$1,0),0)</f>
        <v>0</v>
      </c>
      <c r="Y46" s="3">
        <f>IFERROR(VLOOKUP($C46,学費計算!$C:$R,学費計算!I$1,0),0)</f>
        <v>0</v>
      </c>
      <c r="Z46" s="3">
        <f>IFERROR(VLOOKUP($C46,学費計算!$C:$R,学費計算!J$1,0),0)</f>
        <v>0</v>
      </c>
      <c r="AA46" s="3">
        <f>IFERROR(VLOOKUP($C46,学費計算!$C:$R,学費計算!K$1,0),0)</f>
        <v>0</v>
      </c>
      <c r="AB46" s="14"/>
      <c r="AC46" s="18">
        <f t="shared" si="3"/>
        <v>0</v>
      </c>
      <c r="AD46" s="24">
        <f t="shared" si="4"/>
        <v>0</v>
      </c>
      <c r="AE46" s="5">
        <f>IF(AND($C46&gt;=0,$C46&lt;=入力!$S$36),AE$1,0)</f>
        <v>0</v>
      </c>
      <c r="AF46" s="3"/>
      <c r="AG46" s="3"/>
      <c r="AH46" s="3"/>
      <c r="AI46" s="3"/>
      <c r="AJ46" s="14"/>
      <c r="AK46" s="18">
        <f t="shared" si="9"/>
        <v>0</v>
      </c>
      <c r="AL46" s="24">
        <f t="shared" si="5"/>
        <v>0</v>
      </c>
      <c r="AM46" s="24">
        <f t="shared" si="11"/>
        <v>0</v>
      </c>
    </row>
    <row r="47" spans="2:39" x14ac:dyDescent="0.25">
      <c r="B47" s="5">
        <f t="shared" si="12"/>
        <v>60</v>
      </c>
      <c r="C47" s="3">
        <f t="shared" si="13"/>
        <v>-59</v>
      </c>
      <c r="D47" s="34"/>
      <c r="E47" s="3">
        <f>IF(親1!D47&lt;=833.3+42*親1!AS47,IF(AND(C47&gt;=0,C47&lt;=3),1.5*12,IF(AND(C47&gt;3,C47&lt;=15),1*12,0)),IF(AND(C47&gt;=0,C47&lt;=15),0.5*12,0))</f>
        <v>0</v>
      </c>
      <c r="F47" s="3"/>
      <c r="G47" s="3"/>
      <c r="H47" s="3"/>
      <c r="I47" s="14"/>
      <c r="J47" s="24">
        <f t="shared" si="14"/>
        <v>0</v>
      </c>
      <c r="K47" s="5"/>
      <c r="L47" s="3"/>
      <c r="M47" s="3">
        <f>IF(AND($C47&gt;=0,$C47&lt;=入力!$S$38),M$1,0)</f>
        <v>0</v>
      </c>
      <c r="N47" s="3">
        <f>IF(AND($C47&gt;=0,$C47&lt;=入力!$S$38),N$1,0)</f>
        <v>0</v>
      </c>
      <c r="O47" s="3">
        <f>IF(AND($C47&gt;=0,$C47&lt;=入力!$S$38),O$1,0)</f>
        <v>0</v>
      </c>
      <c r="P47" s="3">
        <f>IF(AND($C47&gt;=0,$C47&lt;=入力!$S$38),P$1,0)</f>
        <v>0</v>
      </c>
      <c r="Q47" s="3">
        <f>IF(AND($C47&gt;=0,$C47&lt;=入力!$S$38),Q$1,0)</f>
        <v>0</v>
      </c>
      <c r="R47" s="3"/>
      <c r="S47" s="14"/>
      <c r="T47" s="18">
        <f t="shared" si="10"/>
        <v>0</v>
      </c>
      <c r="U47" s="24">
        <f t="shared" si="2"/>
        <v>0</v>
      </c>
      <c r="V47" s="5"/>
      <c r="W47" s="3">
        <f>IF(AND($C47&gt;=10,$C47&lt;=入力!$S$38),W$1,0)</f>
        <v>0</v>
      </c>
      <c r="X47" s="3">
        <f>IFERROR(VLOOKUP($C47,学費計算!$C:$R,学費計算!H$1,0),0)</f>
        <v>0</v>
      </c>
      <c r="Y47" s="3">
        <f>IFERROR(VLOOKUP($C47,学費計算!$C:$R,学費計算!I$1,0),0)</f>
        <v>0</v>
      </c>
      <c r="Z47" s="3">
        <f>IFERROR(VLOOKUP($C47,学費計算!$C:$R,学費計算!J$1,0),0)</f>
        <v>0</v>
      </c>
      <c r="AA47" s="3">
        <f>IFERROR(VLOOKUP($C47,学費計算!$C:$R,学費計算!K$1,0),0)</f>
        <v>0</v>
      </c>
      <c r="AB47" s="14"/>
      <c r="AC47" s="18">
        <f t="shared" si="3"/>
        <v>0</v>
      </c>
      <c r="AD47" s="24">
        <f t="shared" si="4"/>
        <v>0</v>
      </c>
      <c r="AE47" s="5">
        <f>IF(AND($C47&gt;=0,$C47&lt;=入力!$S$36),AE$1,0)</f>
        <v>0</v>
      </c>
      <c r="AF47" s="3"/>
      <c r="AG47" s="3"/>
      <c r="AH47" s="3"/>
      <c r="AI47" s="3"/>
      <c r="AJ47" s="14"/>
      <c r="AK47" s="18">
        <f t="shared" si="9"/>
        <v>0</v>
      </c>
      <c r="AL47" s="24">
        <f t="shared" si="5"/>
        <v>0</v>
      </c>
      <c r="AM47" s="24">
        <f t="shared" si="11"/>
        <v>0</v>
      </c>
    </row>
    <row r="48" spans="2:39" x14ac:dyDescent="0.25">
      <c r="B48" s="5">
        <f t="shared" si="12"/>
        <v>61</v>
      </c>
      <c r="C48" s="3">
        <f t="shared" si="13"/>
        <v>-58</v>
      </c>
      <c r="D48" s="34"/>
      <c r="E48" s="3">
        <f>IF(親1!D48&lt;=833.3+42*親1!AS48,IF(AND(C48&gt;=0,C48&lt;=3),1.5*12,IF(AND(C48&gt;3,C48&lt;=15),1*12,0)),IF(AND(C48&gt;=0,C48&lt;=15),0.5*12,0))</f>
        <v>0</v>
      </c>
      <c r="F48" s="3"/>
      <c r="G48" s="3"/>
      <c r="H48" s="3"/>
      <c r="I48" s="14"/>
      <c r="J48" s="24">
        <f t="shared" si="14"/>
        <v>0</v>
      </c>
      <c r="K48" s="5"/>
      <c r="L48" s="3"/>
      <c r="M48" s="3">
        <f>IF(AND($C48&gt;=0,$C48&lt;=入力!$S$38),M$1,0)</f>
        <v>0</v>
      </c>
      <c r="N48" s="3">
        <f>IF(AND($C48&gt;=0,$C48&lt;=入力!$S$38),N$1,0)</f>
        <v>0</v>
      </c>
      <c r="O48" s="3">
        <f>IF(AND($C48&gt;=0,$C48&lt;=入力!$S$38),O$1,0)</f>
        <v>0</v>
      </c>
      <c r="P48" s="3">
        <f>IF(AND($C48&gt;=0,$C48&lt;=入力!$S$38),P$1,0)</f>
        <v>0</v>
      </c>
      <c r="Q48" s="3">
        <f>IF(AND($C48&gt;=0,$C48&lt;=入力!$S$38),Q$1,0)</f>
        <v>0</v>
      </c>
      <c r="R48" s="3"/>
      <c r="S48" s="14"/>
      <c r="T48" s="18">
        <f t="shared" si="10"/>
        <v>0</v>
      </c>
      <c r="U48" s="24">
        <f t="shared" si="2"/>
        <v>0</v>
      </c>
      <c r="V48" s="5"/>
      <c r="W48" s="3">
        <f>IF(AND($C48&gt;=10,$C48&lt;=入力!$S$38),W$1,0)</f>
        <v>0</v>
      </c>
      <c r="X48" s="3">
        <f>IFERROR(VLOOKUP($C48,学費計算!$C:$R,学費計算!H$1,0),0)</f>
        <v>0</v>
      </c>
      <c r="Y48" s="3">
        <f>IFERROR(VLOOKUP($C48,学費計算!$C:$R,学費計算!I$1,0),0)</f>
        <v>0</v>
      </c>
      <c r="Z48" s="3">
        <f>IFERROR(VLOOKUP($C48,学費計算!$C:$R,学費計算!J$1,0),0)</f>
        <v>0</v>
      </c>
      <c r="AA48" s="3">
        <f>IFERROR(VLOOKUP($C48,学費計算!$C:$R,学費計算!K$1,0),0)</f>
        <v>0</v>
      </c>
      <c r="AB48" s="14"/>
      <c r="AC48" s="18">
        <f t="shared" si="3"/>
        <v>0</v>
      </c>
      <c r="AD48" s="24">
        <f t="shared" si="4"/>
        <v>0</v>
      </c>
      <c r="AE48" s="5">
        <f>IF(AND($C48&gt;=0,$C48&lt;=入力!$S$36),AE$1,0)</f>
        <v>0</v>
      </c>
      <c r="AF48" s="3"/>
      <c r="AG48" s="3"/>
      <c r="AH48" s="3"/>
      <c r="AI48" s="3"/>
      <c r="AJ48" s="14"/>
      <c r="AK48" s="18">
        <f t="shared" si="9"/>
        <v>0</v>
      </c>
      <c r="AL48" s="24">
        <f t="shared" si="5"/>
        <v>0</v>
      </c>
      <c r="AM48" s="24">
        <f t="shared" si="11"/>
        <v>0</v>
      </c>
    </row>
    <row r="49" spans="2:39" x14ac:dyDescent="0.25">
      <c r="B49" s="5">
        <f t="shared" si="12"/>
        <v>62</v>
      </c>
      <c r="C49" s="3">
        <f t="shared" si="13"/>
        <v>-57</v>
      </c>
      <c r="D49" s="34"/>
      <c r="E49" s="3">
        <f>IF(親1!D49&lt;=833.3+42*親1!AS49,IF(AND(C49&gt;=0,C49&lt;=3),1.5*12,IF(AND(C49&gt;3,C49&lt;=15),1*12,0)),IF(AND(C49&gt;=0,C49&lt;=15),0.5*12,0))</f>
        <v>0</v>
      </c>
      <c r="F49" s="3"/>
      <c r="G49" s="3"/>
      <c r="H49" s="3"/>
      <c r="I49" s="14"/>
      <c r="J49" s="24">
        <f t="shared" si="14"/>
        <v>0</v>
      </c>
      <c r="K49" s="5"/>
      <c r="L49" s="3"/>
      <c r="M49" s="3">
        <f>IF(AND($C49&gt;=0,$C49&lt;=入力!$S$38),M$1,0)</f>
        <v>0</v>
      </c>
      <c r="N49" s="3">
        <f>IF(AND($C49&gt;=0,$C49&lt;=入力!$S$38),N$1,0)</f>
        <v>0</v>
      </c>
      <c r="O49" s="3">
        <f>IF(AND($C49&gt;=0,$C49&lt;=入力!$S$38),O$1,0)</f>
        <v>0</v>
      </c>
      <c r="P49" s="3">
        <f>IF(AND($C49&gt;=0,$C49&lt;=入力!$S$38),P$1,0)</f>
        <v>0</v>
      </c>
      <c r="Q49" s="3">
        <f>IF(AND($C49&gt;=0,$C49&lt;=入力!$S$38),Q$1,0)</f>
        <v>0</v>
      </c>
      <c r="R49" s="3"/>
      <c r="S49" s="14"/>
      <c r="T49" s="18">
        <f t="shared" si="10"/>
        <v>0</v>
      </c>
      <c r="U49" s="24">
        <f t="shared" si="2"/>
        <v>0</v>
      </c>
      <c r="V49" s="5"/>
      <c r="W49" s="3">
        <f>IF(AND($C49&gt;=10,$C49&lt;=入力!$S$38),W$1,0)</f>
        <v>0</v>
      </c>
      <c r="X49" s="3">
        <f>IFERROR(VLOOKUP($C49,学費計算!$C:$R,学費計算!H$1,0),0)</f>
        <v>0</v>
      </c>
      <c r="Y49" s="3">
        <f>IFERROR(VLOOKUP($C49,学費計算!$C:$R,学費計算!I$1,0),0)</f>
        <v>0</v>
      </c>
      <c r="Z49" s="3">
        <f>IFERROR(VLOOKUP($C49,学費計算!$C:$R,学費計算!J$1,0),0)</f>
        <v>0</v>
      </c>
      <c r="AA49" s="3">
        <f>IFERROR(VLOOKUP($C49,学費計算!$C:$R,学費計算!K$1,0),0)</f>
        <v>0</v>
      </c>
      <c r="AB49" s="14"/>
      <c r="AC49" s="18">
        <f t="shared" si="3"/>
        <v>0</v>
      </c>
      <c r="AD49" s="24">
        <f t="shared" si="4"/>
        <v>0</v>
      </c>
      <c r="AE49" s="5">
        <f>IF(AND($C49&gt;=0,$C49&lt;=入力!$S$36),AE$1,0)</f>
        <v>0</v>
      </c>
      <c r="AF49" s="3"/>
      <c r="AG49" s="3"/>
      <c r="AH49" s="3"/>
      <c r="AI49" s="3"/>
      <c r="AJ49" s="14"/>
      <c r="AK49" s="18">
        <f t="shared" si="9"/>
        <v>0</v>
      </c>
      <c r="AL49" s="24">
        <f t="shared" si="5"/>
        <v>0</v>
      </c>
      <c r="AM49" s="24">
        <f t="shared" si="11"/>
        <v>0</v>
      </c>
    </row>
    <row r="50" spans="2:39" x14ac:dyDescent="0.25">
      <c r="B50" s="5">
        <f t="shared" si="12"/>
        <v>63</v>
      </c>
      <c r="C50" s="3">
        <f t="shared" si="13"/>
        <v>-56</v>
      </c>
      <c r="D50" s="34"/>
      <c r="E50" s="3">
        <f>IF(親1!D50&lt;=833.3+42*親1!AS50,IF(AND(C50&gt;=0,C50&lt;=3),1.5*12,IF(AND(C50&gt;3,C50&lt;=15),1*12,0)),IF(AND(C50&gt;=0,C50&lt;=15),0.5*12,0))</f>
        <v>0</v>
      </c>
      <c r="F50" s="3"/>
      <c r="G50" s="3"/>
      <c r="H50" s="3"/>
      <c r="I50" s="14"/>
      <c r="J50" s="24">
        <f t="shared" si="14"/>
        <v>0</v>
      </c>
      <c r="K50" s="5"/>
      <c r="L50" s="3"/>
      <c r="M50" s="3">
        <f>IF(AND($C50&gt;=0,$C50&lt;=入力!$S$38),M$1,0)</f>
        <v>0</v>
      </c>
      <c r="N50" s="3">
        <f>IF(AND($C50&gt;=0,$C50&lt;=入力!$S$38),N$1,0)</f>
        <v>0</v>
      </c>
      <c r="O50" s="3">
        <f>IF(AND($C50&gt;=0,$C50&lt;=入力!$S$38),O$1,0)</f>
        <v>0</v>
      </c>
      <c r="P50" s="3">
        <f>IF(AND($C50&gt;=0,$C50&lt;=入力!$S$38),P$1,0)</f>
        <v>0</v>
      </c>
      <c r="Q50" s="3">
        <f>IF(AND($C50&gt;=0,$C50&lt;=入力!$S$38),Q$1,0)</f>
        <v>0</v>
      </c>
      <c r="R50" s="3"/>
      <c r="S50" s="14"/>
      <c r="T50" s="18">
        <f t="shared" si="10"/>
        <v>0</v>
      </c>
      <c r="U50" s="24">
        <f t="shared" si="2"/>
        <v>0</v>
      </c>
      <c r="V50" s="5"/>
      <c r="W50" s="3">
        <f>IF(AND($C50&gt;=10,$C50&lt;=入力!$S$38),W$1,0)</f>
        <v>0</v>
      </c>
      <c r="X50" s="3">
        <f>IFERROR(VLOOKUP($C50,学費計算!$C:$R,学費計算!H$1,0),0)</f>
        <v>0</v>
      </c>
      <c r="Y50" s="3">
        <f>IFERROR(VLOOKUP($C50,学費計算!$C:$R,学費計算!I$1,0),0)</f>
        <v>0</v>
      </c>
      <c r="Z50" s="3">
        <f>IFERROR(VLOOKUP($C50,学費計算!$C:$R,学費計算!J$1,0),0)</f>
        <v>0</v>
      </c>
      <c r="AA50" s="3">
        <f>IFERROR(VLOOKUP($C50,学費計算!$C:$R,学費計算!K$1,0),0)</f>
        <v>0</v>
      </c>
      <c r="AB50" s="14"/>
      <c r="AC50" s="18">
        <f t="shared" si="3"/>
        <v>0</v>
      </c>
      <c r="AD50" s="24">
        <f t="shared" si="4"/>
        <v>0</v>
      </c>
      <c r="AE50" s="5">
        <f>IF(AND($C50&gt;=0,$C50&lt;=入力!$S$36),AE$1,0)</f>
        <v>0</v>
      </c>
      <c r="AF50" s="3"/>
      <c r="AG50" s="3"/>
      <c r="AH50" s="3"/>
      <c r="AI50" s="3"/>
      <c r="AJ50" s="14"/>
      <c r="AK50" s="18">
        <f t="shared" si="9"/>
        <v>0</v>
      </c>
      <c r="AL50" s="24">
        <f t="shared" si="5"/>
        <v>0</v>
      </c>
      <c r="AM50" s="24">
        <f t="shared" si="11"/>
        <v>0</v>
      </c>
    </row>
    <row r="51" spans="2:39" x14ac:dyDescent="0.25">
      <c r="B51" s="5">
        <f t="shared" si="12"/>
        <v>64</v>
      </c>
      <c r="C51" s="3">
        <f t="shared" si="13"/>
        <v>-55</v>
      </c>
      <c r="D51" s="34"/>
      <c r="E51" s="3">
        <f>IF(親1!D51&lt;=833.3+42*親1!AS51,IF(AND(C51&gt;=0,C51&lt;=3),1.5*12,IF(AND(C51&gt;3,C51&lt;=15),1*12,0)),IF(AND(C51&gt;=0,C51&lt;=15),0.5*12,0))</f>
        <v>0</v>
      </c>
      <c r="F51" s="3"/>
      <c r="G51" s="3"/>
      <c r="H51" s="3"/>
      <c r="I51" s="14"/>
      <c r="J51" s="24">
        <f t="shared" si="14"/>
        <v>0</v>
      </c>
      <c r="K51" s="5"/>
      <c r="L51" s="3"/>
      <c r="M51" s="3">
        <f>IF(AND($C51&gt;=0,$C51&lt;=入力!$S$38),M$1,0)</f>
        <v>0</v>
      </c>
      <c r="N51" s="3">
        <f>IF(AND($C51&gt;=0,$C51&lt;=入力!$S$38),N$1,0)</f>
        <v>0</v>
      </c>
      <c r="O51" s="3">
        <f>IF(AND($C51&gt;=0,$C51&lt;=入力!$S$38),O$1,0)</f>
        <v>0</v>
      </c>
      <c r="P51" s="3">
        <f>IF(AND($C51&gt;=0,$C51&lt;=入力!$S$38),P$1,0)</f>
        <v>0</v>
      </c>
      <c r="Q51" s="3">
        <f>IF(AND($C51&gt;=0,$C51&lt;=入力!$S$38),Q$1,0)</f>
        <v>0</v>
      </c>
      <c r="R51" s="3"/>
      <c r="S51" s="14"/>
      <c r="T51" s="18">
        <f t="shared" si="10"/>
        <v>0</v>
      </c>
      <c r="U51" s="24">
        <f t="shared" si="2"/>
        <v>0</v>
      </c>
      <c r="V51" s="5"/>
      <c r="W51" s="3">
        <f>IF(AND($C51&gt;=10,$C51&lt;=入力!$S$38),W$1,0)</f>
        <v>0</v>
      </c>
      <c r="X51" s="3">
        <f>IFERROR(VLOOKUP($C51,学費計算!$C:$R,学費計算!H$1,0),0)</f>
        <v>0</v>
      </c>
      <c r="Y51" s="3">
        <f>IFERROR(VLOOKUP($C51,学費計算!$C:$R,学費計算!I$1,0),0)</f>
        <v>0</v>
      </c>
      <c r="Z51" s="3">
        <f>IFERROR(VLOOKUP($C51,学費計算!$C:$R,学費計算!J$1,0),0)</f>
        <v>0</v>
      </c>
      <c r="AA51" s="3">
        <f>IFERROR(VLOOKUP($C51,学費計算!$C:$R,学費計算!K$1,0),0)</f>
        <v>0</v>
      </c>
      <c r="AB51" s="14"/>
      <c r="AC51" s="18">
        <f t="shared" si="3"/>
        <v>0</v>
      </c>
      <c r="AD51" s="24">
        <f t="shared" si="4"/>
        <v>0</v>
      </c>
      <c r="AE51" s="5">
        <f>IF(AND($C51&gt;=0,$C51&lt;=入力!$S$36),AE$1,0)</f>
        <v>0</v>
      </c>
      <c r="AF51" s="3"/>
      <c r="AG51" s="3"/>
      <c r="AH51" s="3"/>
      <c r="AI51" s="3"/>
      <c r="AJ51" s="14"/>
      <c r="AK51" s="18">
        <f t="shared" si="9"/>
        <v>0</v>
      </c>
      <c r="AL51" s="24">
        <f t="shared" si="5"/>
        <v>0</v>
      </c>
      <c r="AM51" s="24">
        <f t="shared" si="11"/>
        <v>0</v>
      </c>
    </row>
    <row r="52" spans="2:39" x14ac:dyDescent="0.25">
      <c r="B52" s="5">
        <f t="shared" si="12"/>
        <v>65</v>
      </c>
      <c r="C52" s="3">
        <f t="shared" si="13"/>
        <v>-54</v>
      </c>
      <c r="D52" s="34"/>
      <c r="E52" s="3">
        <f>IF(親1!D52&lt;=833.3+42*親1!AS52,IF(AND(C52&gt;=0,C52&lt;=3),1.5*12,IF(AND(C52&gt;3,C52&lt;=15),1*12,0)),IF(AND(C52&gt;=0,C52&lt;=15),0.5*12,0))</f>
        <v>0</v>
      </c>
      <c r="F52" s="3"/>
      <c r="G52" s="3"/>
      <c r="H52" s="3"/>
      <c r="I52" s="14"/>
      <c r="J52" s="24">
        <f t="shared" si="14"/>
        <v>0</v>
      </c>
      <c r="K52" s="5"/>
      <c r="L52" s="3"/>
      <c r="M52" s="3">
        <f>IF(AND($C52&gt;=0,$C52&lt;=入力!$S$38),M$1,0)</f>
        <v>0</v>
      </c>
      <c r="N52" s="3">
        <f>IF(AND($C52&gt;=0,$C52&lt;=入力!$S$38),N$1,0)</f>
        <v>0</v>
      </c>
      <c r="O52" s="3">
        <f>IF(AND($C52&gt;=0,$C52&lt;=入力!$S$38),O$1,0)</f>
        <v>0</v>
      </c>
      <c r="P52" s="3">
        <f>IF(AND($C52&gt;=0,$C52&lt;=入力!$S$38),P$1,0)</f>
        <v>0</v>
      </c>
      <c r="Q52" s="3">
        <f>IF(AND($C52&gt;=0,$C52&lt;=入力!$S$38),Q$1,0)</f>
        <v>0</v>
      </c>
      <c r="R52" s="3"/>
      <c r="S52" s="14"/>
      <c r="T52" s="18">
        <f t="shared" si="10"/>
        <v>0</v>
      </c>
      <c r="U52" s="24">
        <f t="shared" si="2"/>
        <v>0</v>
      </c>
      <c r="V52" s="5"/>
      <c r="W52" s="3">
        <f>IF(AND($C52&gt;=10,$C52&lt;=入力!$S$38),W$1,0)</f>
        <v>0</v>
      </c>
      <c r="X52" s="3">
        <f>IFERROR(VLOOKUP($C52,学費計算!$C:$R,学費計算!H$1,0),0)</f>
        <v>0</v>
      </c>
      <c r="Y52" s="3">
        <f>IFERROR(VLOOKUP($C52,学費計算!$C:$R,学費計算!I$1,0),0)</f>
        <v>0</v>
      </c>
      <c r="Z52" s="3">
        <f>IFERROR(VLOOKUP($C52,学費計算!$C:$R,学費計算!J$1,0),0)</f>
        <v>0</v>
      </c>
      <c r="AA52" s="3">
        <f>IFERROR(VLOOKUP($C52,学費計算!$C:$R,学費計算!K$1,0),0)</f>
        <v>0</v>
      </c>
      <c r="AB52" s="14"/>
      <c r="AC52" s="18">
        <f t="shared" si="3"/>
        <v>0</v>
      </c>
      <c r="AD52" s="24">
        <f t="shared" si="4"/>
        <v>0</v>
      </c>
      <c r="AE52" s="5">
        <f>IF(AND($C52&gt;=0,$C52&lt;=入力!$S$36),AE$1,0)</f>
        <v>0</v>
      </c>
      <c r="AF52" s="3"/>
      <c r="AG52" s="3"/>
      <c r="AH52" s="3"/>
      <c r="AI52" s="3"/>
      <c r="AJ52" s="14"/>
      <c r="AK52" s="18">
        <f t="shared" si="9"/>
        <v>0</v>
      </c>
      <c r="AL52" s="24">
        <f t="shared" si="5"/>
        <v>0</v>
      </c>
      <c r="AM52" s="24">
        <f t="shared" si="11"/>
        <v>0</v>
      </c>
    </row>
    <row r="53" spans="2:39" x14ac:dyDescent="0.25">
      <c r="B53" s="5">
        <f t="shared" si="12"/>
        <v>66</v>
      </c>
      <c r="C53" s="3">
        <f t="shared" si="13"/>
        <v>-53</v>
      </c>
      <c r="D53" s="34"/>
      <c r="E53" s="3">
        <f>IF(親1!D53&lt;=833.3+42*親1!AS53,IF(AND(C53&gt;=0,C53&lt;=3),1.5*12,IF(AND(C53&gt;3,C53&lt;=15),1*12,0)),IF(AND(C53&gt;=0,C53&lt;=15),0.5*12,0))</f>
        <v>0</v>
      </c>
      <c r="F53" s="3"/>
      <c r="G53" s="3"/>
      <c r="H53" s="3"/>
      <c r="I53" s="14"/>
      <c r="J53" s="24">
        <f t="shared" si="14"/>
        <v>0</v>
      </c>
      <c r="K53" s="5"/>
      <c r="L53" s="3"/>
      <c r="M53" s="3">
        <f>IF(AND($C53&gt;=0,$C53&lt;=入力!$S$38),M$1,0)</f>
        <v>0</v>
      </c>
      <c r="N53" s="3">
        <f>IF(AND($C53&gt;=0,$C53&lt;=入力!$S$38),N$1,0)</f>
        <v>0</v>
      </c>
      <c r="O53" s="3">
        <f>IF(AND($C53&gt;=0,$C53&lt;=入力!$S$38),O$1,0)</f>
        <v>0</v>
      </c>
      <c r="P53" s="3">
        <f>IF(AND($C53&gt;=0,$C53&lt;=入力!$S$38),P$1,0)</f>
        <v>0</v>
      </c>
      <c r="Q53" s="3">
        <f>IF(AND($C53&gt;=0,$C53&lt;=入力!$S$38),Q$1,0)</f>
        <v>0</v>
      </c>
      <c r="R53" s="3"/>
      <c r="S53" s="14"/>
      <c r="T53" s="18">
        <f t="shared" si="10"/>
        <v>0</v>
      </c>
      <c r="U53" s="24">
        <f t="shared" si="2"/>
        <v>0</v>
      </c>
      <c r="V53" s="5"/>
      <c r="W53" s="3">
        <f>IF(AND($C53&gt;=10,$C53&lt;=入力!$S$38),W$1,0)</f>
        <v>0</v>
      </c>
      <c r="X53" s="3">
        <f>IFERROR(VLOOKUP($C53,学費計算!$C:$R,学費計算!H$1,0),0)</f>
        <v>0</v>
      </c>
      <c r="Y53" s="3">
        <f>IFERROR(VLOOKUP($C53,学費計算!$C:$R,学費計算!I$1,0),0)</f>
        <v>0</v>
      </c>
      <c r="Z53" s="3">
        <f>IFERROR(VLOOKUP($C53,学費計算!$C:$R,学費計算!J$1,0),0)</f>
        <v>0</v>
      </c>
      <c r="AA53" s="3">
        <f>IFERROR(VLOOKUP($C53,学費計算!$C:$R,学費計算!K$1,0),0)</f>
        <v>0</v>
      </c>
      <c r="AB53" s="14"/>
      <c r="AC53" s="18">
        <f t="shared" si="3"/>
        <v>0</v>
      </c>
      <c r="AD53" s="24">
        <f t="shared" si="4"/>
        <v>0</v>
      </c>
      <c r="AE53" s="5">
        <f>IF(AND($C53&gt;=0,$C53&lt;=入力!$S$36),AE$1,0)</f>
        <v>0</v>
      </c>
      <c r="AF53" s="3"/>
      <c r="AG53" s="3"/>
      <c r="AH53" s="3"/>
      <c r="AI53" s="3"/>
      <c r="AJ53" s="14"/>
      <c r="AK53" s="18">
        <f t="shared" si="9"/>
        <v>0</v>
      </c>
      <c r="AL53" s="24">
        <f t="shared" si="5"/>
        <v>0</v>
      </c>
      <c r="AM53" s="24">
        <f t="shared" si="11"/>
        <v>0</v>
      </c>
    </row>
    <row r="54" spans="2:39" x14ac:dyDescent="0.25">
      <c r="B54" s="5">
        <f t="shared" si="12"/>
        <v>67</v>
      </c>
      <c r="C54" s="3">
        <f t="shared" si="13"/>
        <v>-52</v>
      </c>
      <c r="D54" s="34"/>
      <c r="E54" s="3">
        <f>IF(親1!D54&lt;=833.3+42*親1!AS54,IF(AND(C54&gt;=0,C54&lt;=3),1.5*12,IF(AND(C54&gt;3,C54&lt;=15),1*12,0)),IF(AND(C54&gt;=0,C54&lt;=15),0.5*12,0))</f>
        <v>0</v>
      </c>
      <c r="F54" s="3"/>
      <c r="G54" s="3"/>
      <c r="H54" s="3"/>
      <c r="I54" s="14"/>
      <c r="J54" s="24">
        <f t="shared" si="14"/>
        <v>0</v>
      </c>
      <c r="K54" s="5"/>
      <c r="L54" s="3"/>
      <c r="M54" s="3">
        <f>IF(AND($C54&gt;=0,$C54&lt;=入力!$S$38),M$1,0)</f>
        <v>0</v>
      </c>
      <c r="N54" s="3">
        <f>IF(AND($C54&gt;=0,$C54&lt;=入力!$S$38),N$1,0)</f>
        <v>0</v>
      </c>
      <c r="O54" s="3">
        <f>IF(AND($C54&gt;=0,$C54&lt;=入力!$S$38),O$1,0)</f>
        <v>0</v>
      </c>
      <c r="P54" s="3">
        <f>IF(AND($C54&gt;=0,$C54&lt;=入力!$S$38),P$1,0)</f>
        <v>0</v>
      </c>
      <c r="Q54" s="3">
        <f>IF(AND($C54&gt;=0,$C54&lt;=入力!$S$38),Q$1,0)</f>
        <v>0</v>
      </c>
      <c r="R54" s="3"/>
      <c r="S54" s="14"/>
      <c r="T54" s="18">
        <f t="shared" si="10"/>
        <v>0</v>
      </c>
      <c r="U54" s="24">
        <f t="shared" si="2"/>
        <v>0</v>
      </c>
      <c r="V54" s="5"/>
      <c r="W54" s="3">
        <f>IF(AND($C54&gt;=10,$C54&lt;=入力!$S$38),W$1,0)</f>
        <v>0</v>
      </c>
      <c r="X54" s="3">
        <f>IFERROR(VLOOKUP($C54,学費計算!$C:$R,学費計算!H$1,0),0)</f>
        <v>0</v>
      </c>
      <c r="Y54" s="3">
        <f>IFERROR(VLOOKUP($C54,学費計算!$C:$R,学費計算!I$1,0),0)</f>
        <v>0</v>
      </c>
      <c r="Z54" s="3">
        <f>IFERROR(VLOOKUP($C54,学費計算!$C:$R,学費計算!J$1,0),0)</f>
        <v>0</v>
      </c>
      <c r="AA54" s="3">
        <f>IFERROR(VLOOKUP($C54,学費計算!$C:$R,学費計算!K$1,0),0)</f>
        <v>0</v>
      </c>
      <c r="AB54" s="14"/>
      <c r="AC54" s="18">
        <f t="shared" si="3"/>
        <v>0</v>
      </c>
      <c r="AD54" s="24">
        <f t="shared" si="4"/>
        <v>0</v>
      </c>
      <c r="AE54" s="5">
        <f>IF(AND($C54&gt;=0,$C54&lt;=入力!$S$36),AE$1,0)</f>
        <v>0</v>
      </c>
      <c r="AF54" s="3"/>
      <c r="AG54" s="3"/>
      <c r="AH54" s="3"/>
      <c r="AI54" s="3"/>
      <c r="AJ54" s="14"/>
      <c r="AK54" s="18">
        <f t="shared" si="9"/>
        <v>0</v>
      </c>
      <c r="AL54" s="24">
        <f t="shared" si="5"/>
        <v>0</v>
      </c>
      <c r="AM54" s="24">
        <f t="shared" si="11"/>
        <v>0</v>
      </c>
    </row>
    <row r="55" spans="2:39" x14ac:dyDescent="0.25">
      <c r="B55" s="5">
        <f t="shared" si="12"/>
        <v>68</v>
      </c>
      <c r="C55" s="3">
        <f t="shared" si="13"/>
        <v>-51</v>
      </c>
      <c r="D55" s="34"/>
      <c r="E55" s="3">
        <f>IF(親1!D55&lt;=833.3+42*親1!AS55,IF(AND(C55&gt;=0,C55&lt;=3),1.5*12,IF(AND(C55&gt;3,C55&lt;=15),1*12,0)),IF(AND(C55&gt;=0,C55&lt;=15),0.5*12,0))</f>
        <v>0</v>
      </c>
      <c r="F55" s="3"/>
      <c r="G55" s="3"/>
      <c r="H55" s="3"/>
      <c r="I55" s="14"/>
      <c r="J55" s="24">
        <f t="shared" si="14"/>
        <v>0</v>
      </c>
      <c r="K55" s="5"/>
      <c r="L55" s="3"/>
      <c r="M55" s="3">
        <f>IF(AND($C55&gt;=0,$C55&lt;=入力!$S$38),M$1,0)</f>
        <v>0</v>
      </c>
      <c r="N55" s="3">
        <f>IF(AND($C55&gt;=0,$C55&lt;=入力!$S$38),N$1,0)</f>
        <v>0</v>
      </c>
      <c r="O55" s="3">
        <f>IF(AND($C55&gt;=0,$C55&lt;=入力!$S$38),O$1,0)</f>
        <v>0</v>
      </c>
      <c r="P55" s="3">
        <f>IF(AND($C55&gt;=0,$C55&lt;=入力!$S$38),P$1,0)</f>
        <v>0</v>
      </c>
      <c r="Q55" s="3">
        <f>IF(AND($C55&gt;=0,$C55&lt;=入力!$S$38),Q$1,0)</f>
        <v>0</v>
      </c>
      <c r="R55" s="3"/>
      <c r="S55" s="14"/>
      <c r="T55" s="18">
        <f t="shared" si="10"/>
        <v>0</v>
      </c>
      <c r="U55" s="24">
        <f t="shared" si="2"/>
        <v>0</v>
      </c>
      <c r="V55" s="5"/>
      <c r="W55" s="3">
        <f>IF(AND($C55&gt;=10,$C55&lt;=入力!$S$38),W$1,0)</f>
        <v>0</v>
      </c>
      <c r="X55" s="3">
        <f>IFERROR(VLOOKUP($C55,学費計算!$C:$R,学費計算!H$1,0),0)</f>
        <v>0</v>
      </c>
      <c r="Y55" s="3">
        <f>IFERROR(VLOOKUP($C55,学費計算!$C:$R,学費計算!I$1,0),0)</f>
        <v>0</v>
      </c>
      <c r="Z55" s="3">
        <f>IFERROR(VLOOKUP($C55,学費計算!$C:$R,学費計算!J$1,0),0)</f>
        <v>0</v>
      </c>
      <c r="AA55" s="3">
        <f>IFERROR(VLOOKUP($C55,学費計算!$C:$R,学費計算!K$1,0),0)</f>
        <v>0</v>
      </c>
      <c r="AB55" s="14"/>
      <c r="AC55" s="18">
        <f t="shared" si="3"/>
        <v>0</v>
      </c>
      <c r="AD55" s="24">
        <f t="shared" si="4"/>
        <v>0</v>
      </c>
      <c r="AE55" s="5">
        <f>IF(AND($C55&gt;=0,$C55&lt;=入力!$S$36),AE$1,0)</f>
        <v>0</v>
      </c>
      <c r="AF55" s="3"/>
      <c r="AG55" s="3"/>
      <c r="AH55" s="3"/>
      <c r="AI55" s="3"/>
      <c r="AJ55" s="14"/>
      <c r="AK55" s="18">
        <f t="shared" si="9"/>
        <v>0</v>
      </c>
      <c r="AL55" s="24">
        <f t="shared" si="5"/>
        <v>0</v>
      </c>
      <c r="AM55" s="24">
        <f t="shared" si="11"/>
        <v>0</v>
      </c>
    </row>
    <row r="56" spans="2:39" x14ac:dyDescent="0.25">
      <c r="B56" s="5">
        <f t="shared" si="12"/>
        <v>69</v>
      </c>
      <c r="C56" s="3">
        <f t="shared" si="13"/>
        <v>-50</v>
      </c>
      <c r="D56" s="34"/>
      <c r="E56" s="3">
        <f>IF(親1!D56&lt;=833.3+42*親1!AS56,IF(AND(C56&gt;=0,C56&lt;=3),1.5*12,IF(AND(C56&gt;3,C56&lt;=15),1*12,0)),IF(AND(C56&gt;=0,C56&lt;=15),0.5*12,0))</f>
        <v>0</v>
      </c>
      <c r="F56" s="3"/>
      <c r="G56" s="3"/>
      <c r="H56" s="3"/>
      <c r="I56" s="14"/>
      <c r="J56" s="24">
        <f t="shared" si="14"/>
        <v>0</v>
      </c>
      <c r="K56" s="5"/>
      <c r="L56" s="3"/>
      <c r="M56" s="3">
        <f>IF(AND($C56&gt;=0,$C56&lt;=入力!$S$38),M$1,0)</f>
        <v>0</v>
      </c>
      <c r="N56" s="3">
        <f>IF(AND($C56&gt;=0,$C56&lt;=入力!$S$38),N$1,0)</f>
        <v>0</v>
      </c>
      <c r="O56" s="3">
        <f>IF(AND($C56&gt;=0,$C56&lt;=入力!$S$38),O$1,0)</f>
        <v>0</v>
      </c>
      <c r="P56" s="3">
        <f>IF(AND($C56&gt;=0,$C56&lt;=入力!$S$38),P$1,0)</f>
        <v>0</v>
      </c>
      <c r="Q56" s="3">
        <f>IF(AND($C56&gt;=0,$C56&lt;=入力!$S$38),Q$1,0)</f>
        <v>0</v>
      </c>
      <c r="R56" s="3"/>
      <c r="S56" s="14"/>
      <c r="T56" s="18">
        <f t="shared" si="10"/>
        <v>0</v>
      </c>
      <c r="U56" s="24">
        <f t="shared" si="2"/>
        <v>0</v>
      </c>
      <c r="V56" s="5"/>
      <c r="W56" s="3">
        <f>IF(AND($C56&gt;=10,$C56&lt;=入力!$S$38),W$1,0)</f>
        <v>0</v>
      </c>
      <c r="X56" s="3">
        <f>IFERROR(VLOOKUP($C56,学費計算!$C:$R,学費計算!H$1,0),0)</f>
        <v>0</v>
      </c>
      <c r="Y56" s="3">
        <f>IFERROR(VLOOKUP($C56,学費計算!$C:$R,学費計算!I$1,0),0)</f>
        <v>0</v>
      </c>
      <c r="Z56" s="3">
        <f>IFERROR(VLOOKUP($C56,学費計算!$C:$R,学費計算!J$1,0),0)</f>
        <v>0</v>
      </c>
      <c r="AA56" s="3">
        <f>IFERROR(VLOOKUP($C56,学費計算!$C:$R,学費計算!K$1,0),0)</f>
        <v>0</v>
      </c>
      <c r="AB56" s="14"/>
      <c r="AC56" s="18">
        <f t="shared" si="3"/>
        <v>0</v>
      </c>
      <c r="AD56" s="24">
        <f t="shared" si="4"/>
        <v>0</v>
      </c>
      <c r="AE56" s="5">
        <f>IF(AND($C56&gt;=0,$C56&lt;=入力!$S$36),AE$1,0)</f>
        <v>0</v>
      </c>
      <c r="AF56" s="3"/>
      <c r="AG56" s="3"/>
      <c r="AH56" s="3"/>
      <c r="AI56" s="3"/>
      <c r="AJ56" s="14"/>
      <c r="AK56" s="18">
        <f t="shared" si="9"/>
        <v>0</v>
      </c>
      <c r="AL56" s="24">
        <f t="shared" si="5"/>
        <v>0</v>
      </c>
      <c r="AM56" s="24">
        <f t="shared" si="11"/>
        <v>0</v>
      </c>
    </row>
    <row r="57" spans="2:39" x14ac:dyDescent="0.25">
      <c r="B57" s="5">
        <f t="shared" si="12"/>
        <v>70</v>
      </c>
      <c r="C57" s="3">
        <f t="shared" si="13"/>
        <v>-49</v>
      </c>
      <c r="D57" s="34"/>
      <c r="E57" s="3">
        <f>IF(親1!D57&lt;=833.3+42*親1!AS57,IF(AND(C57&gt;=0,C57&lt;=3),1.5*12,IF(AND(C57&gt;3,C57&lt;=15),1*12,0)),IF(AND(C57&gt;=0,C57&lt;=15),0.5*12,0))</f>
        <v>0</v>
      </c>
      <c r="F57" s="3"/>
      <c r="G57" s="3"/>
      <c r="H57" s="3"/>
      <c r="I57" s="14"/>
      <c r="J57" s="24">
        <f t="shared" si="14"/>
        <v>0</v>
      </c>
      <c r="K57" s="5"/>
      <c r="L57" s="3"/>
      <c r="M57" s="3">
        <f>IF(AND($C57&gt;=0,$C57&lt;=入力!$S$38),M$1,0)</f>
        <v>0</v>
      </c>
      <c r="N57" s="3">
        <f>IF(AND($C57&gt;=0,$C57&lt;=入力!$S$38),N$1,0)</f>
        <v>0</v>
      </c>
      <c r="O57" s="3">
        <f>IF(AND($C57&gt;=0,$C57&lt;=入力!$S$38),O$1,0)</f>
        <v>0</v>
      </c>
      <c r="P57" s="3">
        <f>IF(AND($C57&gt;=0,$C57&lt;=入力!$S$38),P$1,0)</f>
        <v>0</v>
      </c>
      <c r="Q57" s="3">
        <f>IF(AND($C57&gt;=0,$C57&lt;=入力!$S$38),Q$1,0)</f>
        <v>0</v>
      </c>
      <c r="R57" s="3"/>
      <c r="S57" s="14"/>
      <c r="T57" s="18">
        <f t="shared" si="10"/>
        <v>0</v>
      </c>
      <c r="U57" s="24">
        <f t="shared" si="2"/>
        <v>0</v>
      </c>
      <c r="V57" s="5"/>
      <c r="W57" s="3">
        <f>IF(AND($C57&gt;=10,$C57&lt;=入力!$S$38),W$1,0)</f>
        <v>0</v>
      </c>
      <c r="X57" s="3">
        <f>IFERROR(VLOOKUP($C57,学費計算!$C:$R,学費計算!H$1,0),0)</f>
        <v>0</v>
      </c>
      <c r="Y57" s="3">
        <f>IFERROR(VLOOKUP($C57,学費計算!$C:$R,学費計算!I$1,0),0)</f>
        <v>0</v>
      </c>
      <c r="Z57" s="3">
        <f>IFERROR(VLOOKUP($C57,学費計算!$C:$R,学費計算!J$1,0),0)</f>
        <v>0</v>
      </c>
      <c r="AA57" s="3">
        <f>IFERROR(VLOOKUP($C57,学費計算!$C:$R,学費計算!K$1,0),0)</f>
        <v>0</v>
      </c>
      <c r="AB57" s="14"/>
      <c r="AC57" s="18">
        <f t="shared" si="3"/>
        <v>0</v>
      </c>
      <c r="AD57" s="24">
        <f t="shared" si="4"/>
        <v>0</v>
      </c>
      <c r="AE57" s="5">
        <f>IF(AND($C57&gt;=0,$C57&lt;=入力!$S$36),AE$1,0)</f>
        <v>0</v>
      </c>
      <c r="AF57" s="3"/>
      <c r="AG57" s="3"/>
      <c r="AH57" s="3"/>
      <c r="AI57" s="3"/>
      <c r="AJ57" s="14"/>
      <c r="AK57" s="18">
        <f t="shared" si="9"/>
        <v>0</v>
      </c>
      <c r="AL57" s="24">
        <f t="shared" si="5"/>
        <v>0</v>
      </c>
      <c r="AM57" s="24">
        <f t="shared" si="11"/>
        <v>0</v>
      </c>
    </row>
    <row r="58" spans="2:39" x14ac:dyDescent="0.25">
      <c r="B58" s="5">
        <f t="shared" si="12"/>
        <v>71</v>
      </c>
      <c r="C58" s="3">
        <f t="shared" si="13"/>
        <v>-48</v>
      </c>
      <c r="D58" s="34"/>
      <c r="E58" s="3">
        <f>IF(親1!D58&lt;=833.3+42*親1!AS58,IF(AND(C58&gt;=0,C58&lt;=3),1.5*12,IF(AND(C58&gt;3,C58&lt;=15),1*12,0)),IF(AND(C58&gt;=0,C58&lt;=15),0.5*12,0))</f>
        <v>0</v>
      </c>
      <c r="F58" s="3"/>
      <c r="G58" s="3"/>
      <c r="H58" s="3"/>
      <c r="I58" s="14"/>
      <c r="J58" s="24">
        <f t="shared" si="14"/>
        <v>0</v>
      </c>
      <c r="K58" s="5"/>
      <c r="L58" s="3"/>
      <c r="M58" s="3">
        <f>IF(AND($C58&gt;=0,$C58&lt;=入力!$S$38),M$1,0)</f>
        <v>0</v>
      </c>
      <c r="N58" s="3">
        <f>IF(AND($C58&gt;=0,$C58&lt;=入力!$S$38),N$1,0)</f>
        <v>0</v>
      </c>
      <c r="O58" s="3">
        <f>IF(AND($C58&gt;=0,$C58&lt;=入力!$S$38),O$1,0)</f>
        <v>0</v>
      </c>
      <c r="P58" s="3">
        <f>IF(AND($C58&gt;=0,$C58&lt;=入力!$S$38),P$1,0)</f>
        <v>0</v>
      </c>
      <c r="Q58" s="3">
        <f>IF(AND($C58&gt;=0,$C58&lt;=入力!$S$38),Q$1,0)</f>
        <v>0</v>
      </c>
      <c r="R58" s="3"/>
      <c r="S58" s="14"/>
      <c r="T58" s="18">
        <f t="shared" si="10"/>
        <v>0</v>
      </c>
      <c r="U58" s="24">
        <f t="shared" si="2"/>
        <v>0</v>
      </c>
      <c r="V58" s="5"/>
      <c r="W58" s="3">
        <f>IF(AND($C58&gt;=10,$C58&lt;=入力!$S$38),W$1,0)</f>
        <v>0</v>
      </c>
      <c r="X58" s="3">
        <f>IFERROR(VLOOKUP($C58,学費計算!$C:$R,学費計算!H$1,0),0)</f>
        <v>0</v>
      </c>
      <c r="Y58" s="3">
        <f>IFERROR(VLOOKUP($C58,学費計算!$C:$R,学費計算!I$1,0),0)</f>
        <v>0</v>
      </c>
      <c r="Z58" s="3">
        <f>IFERROR(VLOOKUP($C58,学費計算!$C:$R,学費計算!J$1,0),0)</f>
        <v>0</v>
      </c>
      <c r="AA58" s="3">
        <f>IFERROR(VLOOKUP($C58,学費計算!$C:$R,学費計算!K$1,0),0)</f>
        <v>0</v>
      </c>
      <c r="AB58" s="14"/>
      <c r="AC58" s="18">
        <f t="shared" si="3"/>
        <v>0</v>
      </c>
      <c r="AD58" s="24">
        <f t="shared" si="4"/>
        <v>0</v>
      </c>
      <c r="AE58" s="5">
        <f>IF(AND($C58&gt;=0,$C58&lt;=入力!$S$36),AE$1,0)</f>
        <v>0</v>
      </c>
      <c r="AF58" s="3"/>
      <c r="AG58" s="3"/>
      <c r="AH58" s="3"/>
      <c r="AI58" s="3"/>
      <c r="AJ58" s="14"/>
      <c r="AK58" s="18">
        <f t="shared" si="9"/>
        <v>0</v>
      </c>
      <c r="AL58" s="24">
        <f t="shared" si="5"/>
        <v>0</v>
      </c>
      <c r="AM58" s="24">
        <f t="shared" si="11"/>
        <v>0</v>
      </c>
    </row>
    <row r="59" spans="2:39" x14ac:dyDescent="0.25">
      <c r="B59" s="5">
        <f t="shared" si="12"/>
        <v>72</v>
      </c>
      <c r="C59" s="3">
        <f t="shared" si="13"/>
        <v>-47</v>
      </c>
      <c r="D59" s="34"/>
      <c r="E59" s="3">
        <f>IF(親1!D59&lt;=833.3+42*親1!AS59,IF(AND(C59&gt;=0,C59&lt;=3),1.5*12,IF(AND(C59&gt;3,C59&lt;=15),1*12,0)),IF(AND(C59&gt;=0,C59&lt;=15),0.5*12,0))</f>
        <v>0</v>
      </c>
      <c r="F59" s="3"/>
      <c r="G59" s="3"/>
      <c r="H59" s="3"/>
      <c r="I59" s="14"/>
      <c r="J59" s="24">
        <f t="shared" si="14"/>
        <v>0</v>
      </c>
      <c r="K59" s="5"/>
      <c r="L59" s="3"/>
      <c r="M59" s="3">
        <f>IF(AND($C59&gt;=0,$C59&lt;=入力!$S$38),M$1,0)</f>
        <v>0</v>
      </c>
      <c r="N59" s="3">
        <f>IF(AND($C59&gt;=0,$C59&lt;=入力!$S$38),N$1,0)</f>
        <v>0</v>
      </c>
      <c r="O59" s="3">
        <f>IF(AND($C59&gt;=0,$C59&lt;=入力!$S$38),O$1,0)</f>
        <v>0</v>
      </c>
      <c r="P59" s="3">
        <f>IF(AND($C59&gt;=0,$C59&lt;=入力!$S$38),P$1,0)</f>
        <v>0</v>
      </c>
      <c r="Q59" s="3">
        <f>IF(AND($C59&gt;=0,$C59&lt;=入力!$S$38),Q$1,0)</f>
        <v>0</v>
      </c>
      <c r="R59" s="3"/>
      <c r="S59" s="14"/>
      <c r="T59" s="18">
        <f t="shared" si="10"/>
        <v>0</v>
      </c>
      <c r="U59" s="24">
        <f t="shared" si="2"/>
        <v>0</v>
      </c>
      <c r="V59" s="5"/>
      <c r="W59" s="3">
        <f>IF(AND($C59&gt;=10,$C59&lt;=入力!$S$38),W$1,0)</f>
        <v>0</v>
      </c>
      <c r="X59" s="3">
        <f>IFERROR(VLOOKUP($C59,学費計算!$C:$R,学費計算!H$1,0),0)</f>
        <v>0</v>
      </c>
      <c r="Y59" s="3">
        <f>IFERROR(VLOOKUP($C59,学費計算!$C:$R,学費計算!I$1,0),0)</f>
        <v>0</v>
      </c>
      <c r="Z59" s="3">
        <f>IFERROR(VLOOKUP($C59,学費計算!$C:$R,学費計算!J$1,0),0)</f>
        <v>0</v>
      </c>
      <c r="AA59" s="3">
        <f>IFERROR(VLOOKUP($C59,学費計算!$C:$R,学費計算!K$1,0),0)</f>
        <v>0</v>
      </c>
      <c r="AB59" s="14"/>
      <c r="AC59" s="18">
        <f t="shared" si="3"/>
        <v>0</v>
      </c>
      <c r="AD59" s="24">
        <f t="shared" si="4"/>
        <v>0</v>
      </c>
      <c r="AE59" s="5">
        <f>IF(AND($C59&gt;=0,$C59&lt;=入力!$S$36),AE$1,0)</f>
        <v>0</v>
      </c>
      <c r="AF59" s="3"/>
      <c r="AG59" s="3"/>
      <c r="AH59" s="3"/>
      <c r="AI59" s="3"/>
      <c r="AJ59" s="14"/>
      <c r="AK59" s="18">
        <f t="shared" si="9"/>
        <v>0</v>
      </c>
      <c r="AL59" s="24">
        <f t="shared" si="5"/>
        <v>0</v>
      </c>
      <c r="AM59" s="24">
        <f t="shared" si="11"/>
        <v>0</v>
      </c>
    </row>
    <row r="60" spans="2:39" x14ac:dyDescent="0.25">
      <c r="B60" s="5">
        <f t="shared" si="12"/>
        <v>73</v>
      </c>
      <c r="C60" s="3">
        <f t="shared" si="13"/>
        <v>-46</v>
      </c>
      <c r="D60" s="34"/>
      <c r="E60" s="3">
        <f>IF(親1!D60&lt;=833.3+42*親1!AS60,IF(AND(C60&gt;=0,C60&lt;=3),1.5*12,IF(AND(C60&gt;3,C60&lt;=15),1*12,0)),IF(AND(C60&gt;=0,C60&lt;=15),0.5*12,0))</f>
        <v>0</v>
      </c>
      <c r="F60" s="3"/>
      <c r="G60" s="3"/>
      <c r="H60" s="3"/>
      <c r="I60" s="14"/>
      <c r="J60" s="24">
        <f t="shared" si="14"/>
        <v>0</v>
      </c>
      <c r="K60" s="5"/>
      <c r="L60" s="3"/>
      <c r="M60" s="3">
        <f>IF(AND($C60&gt;=0,$C60&lt;=入力!$S$38),M$1,0)</f>
        <v>0</v>
      </c>
      <c r="N60" s="3">
        <f>IF(AND($C60&gt;=0,$C60&lt;=入力!$S$38),N$1,0)</f>
        <v>0</v>
      </c>
      <c r="O60" s="3">
        <f>IF(AND($C60&gt;=0,$C60&lt;=入力!$S$38),O$1,0)</f>
        <v>0</v>
      </c>
      <c r="P60" s="3">
        <f>IF(AND($C60&gt;=0,$C60&lt;=入力!$S$38),P$1,0)</f>
        <v>0</v>
      </c>
      <c r="Q60" s="3">
        <f>IF(AND($C60&gt;=0,$C60&lt;=入力!$S$38),Q$1,0)</f>
        <v>0</v>
      </c>
      <c r="R60" s="3"/>
      <c r="S60" s="14"/>
      <c r="T60" s="18">
        <f t="shared" si="10"/>
        <v>0</v>
      </c>
      <c r="U60" s="24">
        <f t="shared" si="2"/>
        <v>0</v>
      </c>
      <c r="V60" s="5"/>
      <c r="W60" s="3">
        <f>IF(AND($C60&gt;=10,$C60&lt;=入力!$S$38),W$1,0)</f>
        <v>0</v>
      </c>
      <c r="X60" s="3">
        <f>IFERROR(VLOOKUP($C60,学費計算!$C:$R,学費計算!H$1,0),0)</f>
        <v>0</v>
      </c>
      <c r="Y60" s="3">
        <f>IFERROR(VLOOKUP($C60,学費計算!$C:$R,学費計算!I$1,0),0)</f>
        <v>0</v>
      </c>
      <c r="Z60" s="3">
        <f>IFERROR(VLOOKUP($C60,学費計算!$C:$R,学費計算!J$1,0),0)</f>
        <v>0</v>
      </c>
      <c r="AA60" s="3">
        <f>IFERROR(VLOOKUP($C60,学費計算!$C:$R,学費計算!K$1,0),0)</f>
        <v>0</v>
      </c>
      <c r="AB60" s="14"/>
      <c r="AC60" s="18">
        <f t="shared" si="3"/>
        <v>0</v>
      </c>
      <c r="AD60" s="24">
        <f t="shared" si="4"/>
        <v>0</v>
      </c>
      <c r="AE60" s="5">
        <f>IF(AND($C60&gt;=0,$C60&lt;=入力!$S$36),AE$1,0)</f>
        <v>0</v>
      </c>
      <c r="AF60" s="3"/>
      <c r="AG60" s="3"/>
      <c r="AH60" s="3"/>
      <c r="AI60" s="3"/>
      <c r="AJ60" s="14"/>
      <c r="AK60" s="18">
        <f t="shared" si="9"/>
        <v>0</v>
      </c>
      <c r="AL60" s="24">
        <f t="shared" si="5"/>
        <v>0</v>
      </c>
      <c r="AM60" s="24">
        <f t="shared" si="11"/>
        <v>0</v>
      </c>
    </row>
    <row r="61" spans="2:39" x14ac:dyDescent="0.25">
      <c r="B61" s="5">
        <f t="shared" si="12"/>
        <v>74</v>
      </c>
      <c r="C61" s="3">
        <f t="shared" si="13"/>
        <v>-45</v>
      </c>
      <c r="D61" s="34"/>
      <c r="E61" s="3">
        <f>IF(親1!D61&lt;=833.3+42*親1!AS61,IF(AND(C61&gt;=0,C61&lt;=3),1.5*12,IF(AND(C61&gt;3,C61&lt;=15),1*12,0)),IF(AND(C61&gt;=0,C61&lt;=15),0.5*12,0))</f>
        <v>0</v>
      </c>
      <c r="F61" s="3"/>
      <c r="G61" s="3"/>
      <c r="H61" s="3"/>
      <c r="I61" s="14"/>
      <c r="J61" s="24">
        <f t="shared" si="14"/>
        <v>0</v>
      </c>
      <c r="K61" s="5"/>
      <c r="L61" s="3"/>
      <c r="M61" s="3">
        <f>IF(AND($C61&gt;=0,$C61&lt;=入力!$S$38),M$1,0)</f>
        <v>0</v>
      </c>
      <c r="N61" s="3">
        <f>IF(AND($C61&gt;=0,$C61&lt;=入力!$S$38),N$1,0)</f>
        <v>0</v>
      </c>
      <c r="O61" s="3">
        <f>IF(AND($C61&gt;=0,$C61&lt;=入力!$S$38),O$1,0)</f>
        <v>0</v>
      </c>
      <c r="P61" s="3">
        <f>IF(AND($C61&gt;=0,$C61&lt;=入力!$S$38),P$1,0)</f>
        <v>0</v>
      </c>
      <c r="Q61" s="3">
        <f>IF(AND($C61&gt;=0,$C61&lt;=入力!$S$38),Q$1,0)</f>
        <v>0</v>
      </c>
      <c r="R61" s="3"/>
      <c r="S61" s="14"/>
      <c r="T61" s="18">
        <f t="shared" si="10"/>
        <v>0</v>
      </c>
      <c r="U61" s="24">
        <f t="shared" si="2"/>
        <v>0</v>
      </c>
      <c r="V61" s="5"/>
      <c r="W61" s="3">
        <f>IF(AND($C61&gt;=10,$C61&lt;=入力!$S$38),W$1,0)</f>
        <v>0</v>
      </c>
      <c r="X61" s="3">
        <f>IFERROR(VLOOKUP($C61,学費計算!$C:$R,学費計算!H$1,0),0)</f>
        <v>0</v>
      </c>
      <c r="Y61" s="3">
        <f>IFERROR(VLOOKUP($C61,学費計算!$C:$R,学費計算!I$1,0),0)</f>
        <v>0</v>
      </c>
      <c r="Z61" s="3">
        <f>IFERROR(VLOOKUP($C61,学費計算!$C:$R,学費計算!J$1,0),0)</f>
        <v>0</v>
      </c>
      <c r="AA61" s="3">
        <f>IFERROR(VLOOKUP($C61,学費計算!$C:$R,学費計算!K$1,0),0)</f>
        <v>0</v>
      </c>
      <c r="AB61" s="14"/>
      <c r="AC61" s="18">
        <f t="shared" si="3"/>
        <v>0</v>
      </c>
      <c r="AD61" s="24">
        <f t="shared" si="4"/>
        <v>0</v>
      </c>
      <c r="AE61" s="5">
        <f>IF(AND($C61&gt;=0,$C61&lt;=入力!$S$36),AE$1,0)</f>
        <v>0</v>
      </c>
      <c r="AF61" s="3"/>
      <c r="AG61" s="3"/>
      <c r="AH61" s="3"/>
      <c r="AI61" s="3"/>
      <c r="AJ61" s="14"/>
      <c r="AK61" s="18">
        <f t="shared" si="9"/>
        <v>0</v>
      </c>
      <c r="AL61" s="24">
        <f t="shared" si="5"/>
        <v>0</v>
      </c>
      <c r="AM61" s="24">
        <f t="shared" si="11"/>
        <v>0</v>
      </c>
    </row>
    <row r="62" spans="2:39" x14ac:dyDescent="0.25">
      <c r="B62" s="5">
        <f t="shared" si="12"/>
        <v>75</v>
      </c>
      <c r="C62" s="3">
        <f t="shared" si="13"/>
        <v>-44</v>
      </c>
      <c r="D62" s="34"/>
      <c r="E62" s="3">
        <f>IF(親1!D62&lt;=833.3+42*親1!AS62,IF(AND(C62&gt;=0,C62&lt;=3),1.5*12,IF(AND(C62&gt;3,C62&lt;=15),1*12,0)),IF(AND(C62&gt;=0,C62&lt;=15),0.5*12,0))</f>
        <v>0</v>
      </c>
      <c r="F62" s="3"/>
      <c r="G62" s="3"/>
      <c r="H62" s="3"/>
      <c r="I62" s="14"/>
      <c r="J62" s="24">
        <f t="shared" si="14"/>
        <v>0</v>
      </c>
      <c r="K62" s="5"/>
      <c r="L62" s="3"/>
      <c r="M62" s="3">
        <f>IF(AND($C62&gt;=0,$C62&lt;=入力!$S$38),M$1,0)</f>
        <v>0</v>
      </c>
      <c r="N62" s="3">
        <f>IF(AND($C62&gt;=0,$C62&lt;=入力!$S$38),N$1,0)</f>
        <v>0</v>
      </c>
      <c r="O62" s="3">
        <f>IF(AND($C62&gt;=0,$C62&lt;=入力!$S$38),O$1,0)</f>
        <v>0</v>
      </c>
      <c r="P62" s="3">
        <f>IF(AND($C62&gt;=0,$C62&lt;=入力!$S$38),P$1,0)</f>
        <v>0</v>
      </c>
      <c r="Q62" s="3">
        <f>IF(AND($C62&gt;=0,$C62&lt;=入力!$S$38),Q$1,0)</f>
        <v>0</v>
      </c>
      <c r="R62" s="3"/>
      <c r="S62" s="14"/>
      <c r="T62" s="18">
        <f t="shared" si="10"/>
        <v>0</v>
      </c>
      <c r="U62" s="24">
        <f t="shared" si="2"/>
        <v>0</v>
      </c>
      <c r="V62" s="5"/>
      <c r="W62" s="3">
        <f>IF(AND($C62&gt;=10,$C62&lt;=入力!$S$38),W$1,0)</f>
        <v>0</v>
      </c>
      <c r="X62" s="3">
        <f>IFERROR(VLOOKUP($C62,学費計算!$C:$R,学費計算!H$1,0),0)</f>
        <v>0</v>
      </c>
      <c r="Y62" s="3">
        <f>IFERROR(VLOOKUP($C62,学費計算!$C:$R,学費計算!I$1,0),0)</f>
        <v>0</v>
      </c>
      <c r="Z62" s="3">
        <f>IFERROR(VLOOKUP($C62,学費計算!$C:$R,学費計算!J$1,0),0)</f>
        <v>0</v>
      </c>
      <c r="AA62" s="3">
        <f>IFERROR(VLOOKUP($C62,学費計算!$C:$R,学費計算!K$1,0),0)</f>
        <v>0</v>
      </c>
      <c r="AB62" s="14"/>
      <c r="AC62" s="18">
        <f t="shared" si="3"/>
        <v>0</v>
      </c>
      <c r="AD62" s="24">
        <f t="shared" si="4"/>
        <v>0</v>
      </c>
      <c r="AE62" s="5">
        <f>IF(AND($C62&gt;=0,$C62&lt;=入力!$S$36),AE$1,0)</f>
        <v>0</v>
      </c>
      <c r="AF62" s="3"/>
      <c r="AG62" s="3"/>
      <c r="AH62" s="3"/>
      <c r="AI62" s="3"/>
      <c r="AJ62" s="14"/>
      <c r="AK62" s="18">
        <f t="shared" si="9"/>
        <v>0</v>
      </c>
      <c r="AL62" s="24">
        <f t="shared" si="5"/>
        <v>0</v>
      </c>
      <c r="AM62" s="24">
        <f t="shared" si="11"/>
        <v>0</v>
      </c>
    </row>
    <row r="63" spans="2:39" x14ac:dyDescent="0.25">
      <c r="B63" s="5">
        <f t="shared" si="12"/>
        <v>76</v>
      </c>
      <c r="C63" s="3">
        <f t="shared" si="13"/>
        <v>-43</v>
      </c>
      <c r="D63" s="34"/>
      <c r="E63" s="3">
        <f>IF(親1!D63&lt;=833.3+42*親1!AS63,IF(AND(C63&gt;=0,C63&lt;=3),1.5*12,IF(AND(C63&gt;3,C63&lt;=15),1*12,0)),IF(AND(C63&gt;=0,C63&lt;=15),0.5*12,0))</f>
        <v>0</v>
      </c>
      <c r="F63" s="3"/>
      <c r="G63" s="3"/>
      <c r="H63" s="3"/>
      <c r="I63" s="14"/>
      <c r="J63" s="24">
        <f t="shared" si="14"/>
        <v>0</v>
      </c>
      <c r="K63" s="5"/>
      <c r="L63" s="3"/>
      <c r="M63" s="3">
        <f>IF(AND($C63&gt;=0,$C63&lt;=入力!$S$38),M$1,0)</f>
        <v>0</v>
      </c>
      <c r="N63" s="3">
        <f>IF(AND($C63&gt;=0,$C63&lt;=入力!$S$38),N$1,0)</f>
        <v>0</v>
      </c>
      <c r="O63" s="3">
        <f>IF(AND($C63&gt;=0,$C63&lt;=入力!$S$38),O$1,0)</f>
        <v>0</v>
      </c>
      <c r="P63" s="3">
        <f>IF(AND($C63&gt;=0,$C63&lt;=入力!$S$38),P$1,0)</f>
        <v>0</v>
      </c>
      <c r="Q63" s="3">
        <f>IF(AND($C63&gt;=0,$C63&lt;=入力!$S$38),Q$1,0)</f>
        <v>0</v>
      </c>
      <c r="R63" s="3"/>
      <c r="S63" s="14"/>
      <c r="T63" s="18">
        <f t="shared" si="10"/>
        <v>0</v>
      </c>
      <c r="U63" s="24">
        <f t="shared" si="2"/>
        <v>0</v>
      </c>
      <c r="V63" s="5"/>
      <c r="W63" s="3">
        <f>IF(AND($C63&gt;=10,$C63&lt;=入力!$S$38),W$1,0)</f>
        <v>0</v>
      </c>
      <c r="X63" s="3">
        <f>IFERROR(VLOOKUP($C63,学費計算!$C:$R,学費計算!H$1,0),0)</f>
        <v>0</v>
      </c>
      <c r="Y63" s="3">
        <f>IFERROR(VLOOKUP($C63,学費計算!$C:$R,学費計算!I$1,0),0)</f>
        <v>0</v>
      </c>
      <c r="Z63" s="3">
        <f>IFERROR(VLOOKUP($C63,学費計算!$C:$R,学費計算!J$1,0),0)</f>
        <v>0</v>
      </c>
      <c r="AA63" s="3">
        <f>IFERROR(VLOOKUP($C63,学費計算!$C:$R,学費計算!K$1,0),0)</f>
        <v>0</v>
      </c>
      <c r="AB63" s="14"/>
      <c r="AC63" s="18">
        <f t="shared" si="3"/>
        <v>0</v>
      </c>
      <c r="AD63" s="24">
        <f t="shared" si="4"/>
        <v>0</v>
      </c>
      <c r="AE63" s="5">
        <f>IF(AND($C63&gt;=0,$C63&lt;=入力!$S$36),AE$1,0)</f>
        <v>0</v>
      </c>
      <c r="AF63" s="3"/>
      <c r="AG63" s="3"/>
      <c r="AH63" s="3"/>
      <c r="AI63" s="3"/>
      <c r="AJ63" s="14"/>
      <c r="AK63" s="18">
        <f t="shared" si="9"/>
        <v>0</v>
      </c>
      <c r="AL63" s="24">
        <f t="shared" si="5"/>
        <v>0</v>
      </c>
      <c r="AM63" s="24">
        <f t="shared" si="11"/>
        <v>0</v>
      </c>
    </row>
    <row r="64" spans="2:39" x14ac:dyDescent="0.25">
      <c r="B64" s="5">
        <f t="shared" si="12"/>
        <v>77</v>
      </c>
      <c r="C64" s="3">
        <f t="shared" si="13"/>
        <v>-42</v>
      </c>
      <c r="D64" s="34"/>
      <c r="E64" s="3">
        <f>IF(親1!D64&lt;=833.3+42*親1!AS64,IF(AND(C64&gt;=0,C64&lt;=3),1.5*12,IF(AND(C64&gt;3,C64&lt;=15),1*12,0)),IF(AND(C64&gt;=0,C64&lt;=15),0.5*12,0))</f>
        <v>0</v>
      </c>
      <c r="F64" s="3"/>
      <c r="G64" s="3"/>
      <c r="H64" s="3"/>
      <c r="I64" s="14"/>
      <c r="J64" s="24">
        <f t="shared" si="14"/>
        <v>0</v>
      </c>
      <c r="K64" s="5"/>
      <c r="L64" s="3"/>
      <c r="M64" s="3">
        <f>IF(AND($C64&gt;=0,$C64&lt;=入力!$S$38),M$1,0)</f>
        <v>0</v>
      </c>
      <c r="N64" s="3">
        <f>IF(AND($C64&gt;=0,$C64&lt;=入力!$S$38),N$1,0)</f>
        <v>0</v>
      </c>
      <c r="O64" s="3">
        <f>IF(AND($C64&gt;=0,$C64&lt;=入力!$S$38),O$1,0)</f>
        <v>0</v>
      </c>
      <c r="P64" s="3">
        <f>IF(AND($C64&gt;=0,$C64&lt;=入力!$S$38),P$1,0)</f>
        <v>0</v>
      </c>
      <c r="Q64" s="3">
        <f>IF(AND($C64&gt;=0,$C64&lt;=入力!$S$38),Q$1,0)</f>
        <v>0</v>
      </c>
      <c r="R64" s="3"/>
      <c r="S64" s="14"/>
      <c r="T64" s="18">
        <f t="shared" si="10"/>
        <v>0</v>
      </c>
      <c r="U64" s="24">
        <f t="shared" si="2"/>
        <v>0</v>
      </c>
      <c r="V64" s="5"/>
      <c r="W64" s="3">
        <f>IF(AND($C64&gt;=10,$C64&lt;=入力!$S$38),W$1,0)</f>
        <v>0</v>
      </c>
      <c r="X64" s="3">
        <f>IFERROR(VLOOKUP($C64,学費計算!$C:$R,学費計算!H$1,0),0)</f>
        <v>0</v>
      </c>
      <c r="Y64" s="3">
        <f>IFERROR(VLOOKUP($C64,学費計算!$C:$R,学費計算!I$1,0),0)</f>
        <v>0</v>
      </c>
      <c r="Z64" s="3">
        <f>IFERROR(VLOOKUP($C64,学費計算!$C:$R,学費計算!J$1,0),0)</f>
        <v>0</v>
      </c>
      <c r="AA64" s="3">
        <f>IFERROR(VLOOKUP($C64,学費計算!$C:$R,学費計算!K$1,0),0)</f>
        <v>0</v>
      </c>
      <c r="AB64" s="14"/>
      <c r="AC64" s="18">
        <f t="shared" si="3"/>
        <v>0</v>
      </c>
      <c r="AD64" s="24">
        <f t="shared" si="4"/>
        <v>0</v>
      </c>
      <c r="AE64" s="5">
        <f>IF(AND($C64&gt;=0,$C64&lt;=入力!$S$36),AE$1,0)</f>
        <v>0</v>
      </c>
      <c r="AF64" s="3"/>
      <c r="AG64" s="3"/>
      <c r="AH64" s="3"/>
      <c r="AI64" s="3"/>
      <c r="AJ64" s="14"/>
      <c r="AK64" s="18">
        <f t="shared" si="9"/>
        <v>0</v>
      </c>
      <c r="AL64" s="24">
        <f t="shared" si="5"/>
        <v>0</v>
      </c>
      <c r="AM64" s="24">
        <f t="shared" si="11"/>
        <v>0</v>
      </c>
    </row>
    <row r="65" spans="2:39" x14ac:dyDescent="0.25">
      <c r="B65" s="5">
        <f t="shared" si="12"/>
        <v>78</v>
      </c>
      <c r="C65" s="3">
        <f t="shared" si="13"/>
        <v>-41</v>
      </c>
      <c r="D65" s="34"/>
      <c r="E65" s="3">
        <f>IF(親1!D65&lt;=833.3+42*親1!AS65,IF(AND(C65&gt;=0,C65&lt;=3),1.5*12,IF(AND(C65&gt;3,C65&lt;=15),1*12,0)),IF(AND(C65&gt;=0,C65&lt;=15),0.5*12,0))</f>
        <v>0</v>
      </c>
      <c r="F65" s="3"/>
      <c r="G65" s="3"/>
      <c r="H65" s="3"/>
      <c r="I65" s="14"/>
      <c r="J65" s="24">
        <f t="shared" si="14"/>
        <v>0</v>
      </c>
      <c r="K65" s="5"/>
      <c r="L65" s="3"/>
      <c r="M65" s="3">
        <f>IF(AND($C65&gt;=0,$C65&lt;=入力!$S$38),M$1,0)</f>
        <v>0</v>
      </c>
      <c r="N65" s="3">
        <f>IF(AND($C65&gt;=0,$C65&lt;=入力!$S$38),N$1,0)</f>
        <v>0</v>
      </c>
      <c r="O65" s="3">
        <f>IF(AND($C65&gt;=0,$C65&lt;=入力!$S$38),O$1,0)</f>
        <v>0</v>
      </c>
      <c r="P65" s="3">
        <f>IF(AND($C65&gt;=0,$C65&lt;=入力!$S$38),P$1,0)</f>
        <v>0</v>
      </c>
      <c r="Q65" s="3">
        <f>IF(AND($C65&gt;=0,$C65&lt;=入力!$S$38),Q$1,0)</f>
        <v>0</v>
      </c>
      <c r="R65" s="3"/>
      <c r="S65" s="14"/>
      <c r="T65" s="18">
        <f t="shared" si="10"/>
        <v>0</v>
      </c>
      <c r="U65" s="24">
        <f t="shared" si="2"/>
        <v>0</v>
      </c>
      <c r="V65" s="5"/>
      <c r="W65" s="3">
        <f>IF(AND($C65&gt;=10,$C65&lt;=入力!$S$38),W$1,0)</f>
        <v>0</v>
      </c>
      <c r="X65" s="3">
        <f>IFERROR(VLOOKUP($C65,学費計算!$C:$R,学費計算!H$1,0),0)</f>
        <v>0</v>
      </c>
      <c r="Y65" s="3">
        <f>IFERROR(VLOOKUP($C65,学費計算!$C:$R,学費計算!I$1,0),0)</f>
        <v>0</v>
      </c>
      <c r="Z65" s="3">
        <f>IFERROR(VLOOKUP($C65,学費計算!$C:$R,学費計算!J$1,0),0)</f>
        <v>0</v>
      </c>
      <c r="AA65" s="3">
        <f>IFERROR(VLOOKUP($C65,学費計算!$C:$R,学費計算!K$1,0),0)</f>
        <v>0</v>
      </c>
      <c r="AB65" s="14"/>
      <c r="AC65" s="18">
        <f t="shared" si="3"/>
        <v>0</v>
      </c>
      <c r="AD65" s="24">
        <f t="shared" si="4"/>
        <v>0</v>
      </c>
      <c r="AE65" s="5">
        <f>IF(AND($C65&gt;=0,$C65&lt;=入力!$S$36),AE$1,0)</f>
        <v>0</v>
      </c>
      <c r="AF65" s="3"/>
      <c r="AG65" s="3"/>
      <c r="AH65" s="3"/>
      <c r="AI65" s="3"/>
      <c r="AJ65" s="14"/>
      <c r="AK65" s="18">
        <f t="shared" si="9"/>
        <v>0</v>
      </c>
      <c r="AL65" s="24">
        <f t="shared" si="5"/>
        <v>0</v>
      </c>
      <c r="AM65" s="24">
        <f t="shared" si="11"/>
        <v>0</v>
      </c>
    </row>
    <row r="66" spans="2:39" x14ac:dyDescent="0.25">
      <c r="B66" s="5">
        <f t="shared" si="12"/>
        <v>79</v>
      </c>
      <c r="C66" s="3">
        <f t="shared" si="13"/>
        <v>-40</v>
      </c>
      <c r="D66" s="34"/>
      <c r="E66" s="3">
        <f>IF(親1!D66&lt;=833.3+42*親1!AS66,IF(AND(C66&gt;=0,C66&lt;=3),1.5*12,IF(AND(C66&gt;3,C66&lt;=15),1*12,0)),IF(AND(C66&gt;=0,C66&lt;=15),0.5*12,0))</f>
        <v>0</v>
      </c>
      <c r="F66" s="3"/>
      <c r="G66" s="3"/>
      <c r="H66" s="3"/>
      <c r="I66" s="14"/>
      <c r="J66" s="24">
        <f t="shared" si="14"/>
        <v>0</v>
      </c>
      <c r="K66" s="5"/>
      <c r="L66" s="3"/>
      <c r="M66" s="3">
        <f>IF(AND($C66&gt;=0,$C66&lt;=入力!$S$38),M$1,0)</f>
        <v>0</v>
      </c>
      <c r="N66" s="3">
        <f>IF(AND($C66&gt;=0,$C66&lt;=入力!$S$38),N$1,0)</f>
        <v>0</v>
      </c>
      <c r="O66" s="3">
        <f>IF(AND($C66&gt;=0,$C66&lt;=入力!$S$38),O$1,0)</f>
        <v>0</v>
      </c>
      <c r="P66" s="3">
        <f>IF(AND($C66&gt;=0,$C66&lt;=入力!$S$38),P$1,0)</f>
        <v>0</v>
      </c>
      <c r="Q66" s="3">
        <f>IF(AND($C66&gt;=0,$C66&lt;=入力!$S$38),Q$1,0)</f>
        <v>0</v>
      </c>
      <c r="R66" s="3"/>
      <c r="S66" s="14"/>
      <c r="T66" s="18">
        <f t="shared" si="10"/>
        <v>0</v>
      </c>
      <c r="U66" s="24">
        <f t="shared" si="2"/>
        <v>0</v>
      </c>
      <c r="V66" s="5"/>
      <c r="W66" s="3">
        <f>IF(AND($C66&gt;=10,$C66&lt;=入力!$S$38),W$1,0)</f>
        <v>0</v>
      </c>
      <c r="X66" s="3">
        <f>IFERROR(VLOOKUP($C66,学費計算!$C:$R,学費計算!H$1,0),0)</f>
        <v>0</v>
      </c>
      <c r="Y66" s="3">
        <f>IFERROR(VLOOKUP($C66,学費計算!$C:$R,学費計算!I$1,0),0)</f>
        <v>0</v>
      </c>
      <c r="Z66" s="3">
        <f>IFERROR(VLOOKUP($C66,学費計算!$C:$R,学費計算!J$1,0),0)</f>
        <v>0</v>
      </c>
      <c r="AA66" s="3">
        <f>IFERROR(VLOOKUP($C66,学費計算!$C:$R,学費計算!K$1,0),0)</f>
        <v>0</v>
      </c>
      <c r="AB66" s="14"/>
      <c r="AC66" s="18">
        <f t="shared" si="3"/>
        <v>0</v>
      </c>
      <c r="AD66" s="24">
        <f t="shared" si="4"/>
        <v>0</v>
      </c>
      <c r="AE66" s="5">
        <f>IF(AND($C66&gt;=0,$C66&lt;=入力!$S$36),AE$1,0)</f>
        <v>0</v>
      </c>
      <c r="AF66" s="3"/>
      <c r="AG66" s="3"/>
      <c r="AH66" s="3"/>
      <c r="AI66" s="3"/>
      <c r="AJ66" s="14"/>
      <c r="AK66" s="18">
        <f t="shared" si="9"/>
        <v>0</v>
      </c>
      <c r="AL66" s="24">
        <f t="shared" si="5"/>
        <v>0</v>
      </c>
      <c r="AM66" s="24">
        <f t="shared" si="11"/>
        <v>0</v>
      </c>
    </row>
    <row r="67" spans="2:39" x14ac:dyDescent="0.25">
      <c r="B67" s="5">
        <f t="shared" si="12"/>
        <v>80</v>
      </c>
      <c r="C67" s="3">
        <f t="shared" si="13"/>
        <v>-39</v>
      </c>
      <c r="D67" s="34"/>
      <c r="E67" s="3">
        <f>IF(親1!D67&lt;=833.3+42*親1!AS67,IF(AND(C67&gt;=0,C67&lt;=3),1.5*12,IF(AND(C67&gt;3,C67&lt;=15),1*12,0)),IF(AND(C67&gt;=0,C67&lt;=15),0.5*12,0))</f>
        <v>0</v>
      </c>
      <c r="F67" s="3"/>
      <c r="G67" s="3"/>
      <c r="H67" s="3"/>
      <c r="I67" s="14"/>
      <c r="J67" s="24">
        <f t="shared" si="14"/>
        <v>0</v>
      </c>
      <c r="K67" s="5"/>
      <c r="L67" s="3"/>
      <c r="M67" s="3">
        <f>IF(AND($C67&gt;=0,$C67&lt;=入力!$S$38),M$1,0)</f>
        <v>0</v>
      </c>
      <c r="N67" s="3">
        <f>IF(AND($C67&gt;=0,$C67&lt;=入力!$S$38),N$1,0)</f>
        <v>0</v>
      </c>
      <c r="O67" s="3">
        <f>IF(AND($C67&gt;=0,$C67&lt;=入力!$S$38),O$1,0)</f>
        <v>0</v>
      </c>
      <c r="P67" s="3">
        <f>IF(AND($C67&gt;=0,$C67&lt;=入力!$S$38),P$1,0)</f>
        <v>0</v>
      </c>
      <c r="Q67" s="3">
        <f>IF(AND($C67&gt;=0,$C67&lt;=入力!$S$38),Q$1,0)</f>
        <v>0</v>
      </c>
      <c r="R67" s="3"/>
      <c r="S67" s="14"/>
      <c r="T67" s="18">
        <f t="shared" si="10"/>
        <v>0</v>
      </c>
      <c r="U67" s="24">
        <f t="shared" si="2"/>
        <v>0</v>
      </c>
      <c r="V67" s="5"/>
      <c r="W67" s="3">
        <f>IF(AND($C67&gt;=10,$C67&lt;=入力!$S$38),W$1,0)</f>
        <v>0</v>
      </c>
      <c r="X67" s="3">
        <f>IFERROR(VLOOKUP($C67,学費計算!$C:$R,学費計算!H$1,0),0)</f>
        <v>0</v>
      </c>
      <c r="Y67" s="3">
        <f>IFERROR(VLOOKUP($C67,学費計算!$C:$R,学費計算!I$1,0),0)</f>
        <v>0</v>
      </c>
      <c r="Z67" s="3">
        <f>IFERROR(VLOOKUP($C67,学費計算!$C:$R,学費計算!J$1,0),0)</f>
        <v>0</v>
      </c>
      <c r="AA67" s="3">
        <f>IFERROR(VLOOKUP($C67,学費計算!$C:$R,学費計算!K$1,0),0)</f>
        <v>0</v>
      </c>
      <c r="AB67" s="14"/>
      <c r="AC67" s="18">
        <f t="shared" si="3"/>
        <v>0</v>
      </c>
      <c r="AD67" s="24">
        <f t="shared" si="4"/>
        <v>0</v>
      </c>
      <c r="AE67" s="5">
        <f>IF(AND($C67&gt;=0,$C67&lt;=入力!$S$36),AE$1,0)</f>
        <v>0</v>
      </c>
      <c r="AF67" s="3"/>
      <c r="AG67" s="3"/>
      <c r="AH67" s="3"/>
      <c r="AI67" s="3"/>
      <c r="AJ67" s="14"/>
      <c r="AK67" s="18">
        <f t="shared" si="9"/>
        <v>0</v>
      </c>
      <c r="AL67" s="24">
        <f t="shared" si="5"/>
        <v>0</v>
      </c>
      <c r="AM67" s="24">
        <f t="shared" si="11"/>
        <v>0</v>
      </c>
    </row>
    <row r="68" spans="2:39" x14ac:dyDescent="0.25">
      <c r="B68" s="5">
        <f t="shared" si="12"/>
        <v>81</v>
      </c>
      <c r="C68" s="3">
        <f t="shared" si="13"/>
        <v>-38</v>
      </c>
      <c r="D68" s="34"/>
      <c r="E68" s="3">
        <f>IF(親1!D68&lt;=833.3+42*親1!AS68,IF(AND(C68&gt;=0,C68&lt;=3),1.5*12,IF(AND(C68&gt;3,C68&lt;=15),1*12,0)),IF(AND(C68&gt;=0,C68&lt;=15),0.5*12,0))</f>
        <v>0</v>
      </c>
      <c r="F68" s="3"/>
      <c r="G68" s="3"/>
      <c r="H68" s="3"/>
      <c r="I68" s="14"/>
      <c r="J68" s="24">
        <f t="shared" si="14"/>
        <v>0</v>
      </c>
      <c r="K68" s="5"/>
      <c r="L68" s="3"/>
      <c r="M68" s="3">
        <f>IF(AND($C68&gt;=0,$C68&lt;=入力!$S$38),M$1,0)</f>
        <v>0</v>
      </c>
      <c r="N68" s="3">
        <f>IF(AND($C68&gt;=0,$C68&lt;=入力!$S$38),N$1,0)</f>
        <v>0</v>
      </c>
      <c r="O68" s="3">
        <f>IF(AND($C68&gt;=0,$C68&lt;=入力!$S$38),O$1,0)</f>
        <v>0</v>
      </c>
      <c r="P68" s="3">
        <f>IF(AND($C68&gt;=0,$C68&lt;=入力!$S$38),P$1,0)</f>
        <v>0</v>
      </c>
      <c r="Q68" s="3">
        <f>IF(AND($C68&gt;=0,$C68&lt;=入力!$S$38),Q$1,0)</f>
        <v>0</v>
      </c>
      <c r="R68" s="3"/>
      <c r="S68" s="14"/>
      <c r="T68" s="18">
        <f t="shared" si="10"/>
        <v>0</v>
      </c>
      <c r="U68" s="24">
        <f t="shared" si="2"/>
        <v>0</v>
      </c>
      <c r="V68" s="5"/>
      <c r="W68" s="3">
        <f>IF(AND($C68&gt;=10,$C68&lt;=入力!$S$38),W$1,0)</f>
        <v>0</v>
      </c>
      <c r="X68" s="3">
        <f>IFERROR(VLOOKUP($C68,学費計算!$C:$R,学費計算!H$1,0),0)</f>
        <v>0</v>
      </c>
      <c r="Y68" s="3">
        <f>IFERROR(VLOOKUP($C68,学費計算!$C:$R,学費計算!I$1,0),0)</f>
        <v>0</v>
      </c>
      <c r="Z68" s="3">
        <f>IFERROR(VLOOKUP($C68,学費計算!$C:$R,学費計算!J$1,0),0)</f>
        <v>0</v>
      </c>
      <c r="AA68" s="3">
        <f>IFERROR(VLOOKUP($C68,学費計算!$C:$R,学費計算!K$1,0),0)</f>
        <v>0</v>
      </c>
      <c r="AB68" s="14"/>
      <c r="AC68" s="18">
        <f t="shared" si="3"/>
        <v>0</v>
      </c>
      <c r="AD68" s="24">
        <f t="shared" si="4"/>
        <v>0</v>
      </c>
      <c r="AE68" s="5">
        <f>IF(AND($C68&gt;=0,$C68&lt;=入力!$S$36),AE$1,0)</f>
        <v>0</v>
      </c>
      <c r="AF68" s="3"/>
      <c r="AG68" s="3"/>
      <c r="AH68" s="3"/>
      <c r="AI68" s="3"/>
      <c r="AJ68" s="14"/>
      <c r="AK68" s="18">
        <f t="shared" si="9"/>
        <v>0</v>
      </c>
      <c r="AL68" s="24">
        <f t="shared" si="5"/>
        <v>0</v>
      </c>
      <c r="AM68" s="24">
        <f t="shared" si="11"/>
        <v>0</v>
      </c>
    </row>
    <row r="69" spans="2:39" x14ac:dyDescent="0.25">
      <c r="B69" s="5">
        <f t="shared" si="12"/>
        <v>82</v>
      </c>
      <c r="C69" s="3">
        <f t="shared" si="13"/>
        <v>-37</v>
      </c>
      <c r="D69" s="34"/>
      <c r="E69" s="3">
        <f>IF(親1!D69&lt;=833.3+42*親1!AS69,IF(AND(C69&gt;=0,C69&lt;=3),1.5*12,IF(AND(C69&gt;3,C69&lt;=15),1*12,0)),IF(AND(C69&gt;=0,C69&lt;=15),0.5*12,0))</f>
        <v>0</v>
      </c>
      <c r="F69" s="3"/>
      <c r="G69" s="3"/>
      <c r="H69" s="3"/>
      <c r="I69" s="14"/>
      <c r="J69" s="24">
        <f t="shared" si="14"/>
        <v>0</v>
      </c>
      <c r="K69" s="5"/>
      <c r="L69" s="3"/>
      <c r="M69" s="3">
        <f>IF(AND($C69&gt;=0,$C69&lt;=入力!$S$38),M$1,0)</f>
        <v>0</v>
      </c>
      <c r="N69" s="3">
        <f>IF(AND($C69&gt;=0,$C69&lt;=入力!$S$38),N$1,0)</f>
        <v>0</v>
      </c>
      <c r="O69" s="3">
        <f>IF(AND($C69&gt;=0,$C69&lt;=入力!$S$38),O$1,0)</f>
        <v>0</v>
      </c>
      <c r="P69" s="3">
        <f>IF(AND($C69&gt;=0,$C69&lt;=入力!$S$38),P$1,0)</f>
        <v>0</v>
      </c>
      <c r="Q69" s="3">
        <f>IF(AND($C69&gt;=0,$C69&lt;=入力!$S$38),Q$1,0)</f>
        <v>0</v>
      </c>
      <c r="R69" s="3"/>
      <c r="S69" s="14"/>
      <c r="T69" s="18">
        <f t="shared" si="10"/>
        <v>0</v>
      </c>
      <c r="U69" s="24">
        <f t="shared" si="2"/>
        <v>0</v>
      </c>
      <c r="V69" s="5"/>
      <c r="W69" s="3">
        <f>IF(AND($C69&gt;=10,$C69&lt;=入力!$S$38),W$1,0)</f>
        <v>0</v>
      </c>
      <c r="X69" s="3">
        <f>IFERROR(VLOOKUP($C69,学費計算!$C:$R,学費計算!H$1,0),0)</f>
        <v>0</v>
      </c>
      <c r="Y69" s="3">
        <f>IFERROR(VLOOKUP($C69,学費計算!$C:$R,学費計算!I$1,0),0)</f>
        <v>0</v>
      </c>
      <c r="Z69" s="3">
        <f>IFERROR(VLOOKUP($C69,学費計算!$C:$R,学費計算!J$1,0),0)</f>
        <v>0</v>
      </c>
      <c r="AA69" s="3">
        <f>IFERROR(VLOOKUP($C69,学費計算!$C:$R,学費計算!K$1,0),0)</f>
        <v>0</v>
      </c>
      <c r="AB69" s="3"/>
      <c r="AC69" s="27">
        <f t="shared" si="3"/>
        <v>0</v>
      </c>
      <c r="AD69" s="24">
        <f t="shared" si="4"/>
        <v>0</v>
      </c>
      <c r="AE69" s="5">
        <f>IF(AND($C69&gt;=0,$C69&lt;=入力!$S$36),AE$1,0)</f>
        <v>0</v>
      </c>
      <c r="AF69" s="3"/>
      <c r="AG69" s="3"/>
      <c r="AH69" s="3"/>
      <c r="AI69" s="3"/>
      <c r="AJ69" s="14"/>
      <c r="AK69" s="18">
        <f t="shared" si="9"/>
        <v>0</v>
      </c>
      <c r="AL69" s="24">
        <f t="shared" si="5"/>
        <v>0</v>
      </c>
      <c r="AM69" s="24">
        <f t="shared" si="11"/>
        <v>0</v>
      </c>
    </row>
    <row r="70" spans="2:39" ht="15" thickBot="1" x14ac:dyDescent="0.3">
      <c r="B70" s="5">
        <f t="shared" si="12"/>
        <v>83</v>
      </c>
      <c r="C70" s="3">
        <f t="shared" si="13"/>
        <v>-36</v>
      </c>
      <c r="D70" s="34"/>
      <c r="E70" s="3">
        <f>IF(親1!D70&lt;=833.3+42*親1!AS70,IF(AND(C70&gt;=0,C70&lt;=3),1.5*12,IF(AND(C70&gt;3,C70&lt;=15),1*12,0)),IF(AND(C70&gt;=0,C70&lt;=15),0.5*12,0))</f>
        <v>0</v>
      </c>
      <c r="F70" s="3"/>
      <c r="G70" s="3"/>
      <c r="H70" s="3"/>
      <c r="I70" s="14"/>
      <c r="J70" s="24">
        <f t="shared" si="14"/>
        <v>0</v>
      </c>
      <c r="K70" s="5"/>
      <c r="L70" s="3"/>
      <c r="M70" s="3">
        <f>IF(AND($C70&gt;=0,$C70&lt;=入力!$S$38),M$1,0)</f>
        <v>0</v>
      </c>
      <c r="N70" s="3">
        <f>IF(AND($C70&gt;=0,$C70&lt;=入力!$S$38),N$1,0)</f>
        <v>0</v>
      </c>
      <c r="O70" s="3">
        <f>IF(AND($C70&gt;=0,$C70&lt;=入力!$S$38),O$1,0)</f>
        <v>0</v>
      </c>
      <c r="P70" s="3">
        <f>IF(AND($C70&gt;=0,$C70&lt;=入力!$S$38),P$1,0)</f>
        <v>0</v>
      </c>
      <c r="Q70" s="3">
        <f>IF(AND($C70&gt;=0,$C70&lt;=入力!$S$38),Q$1,0)</f>
        <v>0</v>
      </c>
      <c r="R70" s="3"/>
      <c r="S70" s="14"/>
      <c r="T70" s="18">
        <f t="shared" si="10"/>
        <v>0</v>
      </c>
      <c r="U70" s="24">
        <f t="shared" ref="U70" si="15">J70-T70</f>
        <v>0</v>
      </c>
      <c r="V70" s="5"/>
      <c r="W70" s="3">
        <f>IF(AND($C70&gt;=10,$C70&lt;=入力!$S$38),W$1,0)</f>
        <v>0</v>
      </c>
      <c r="X70" s="3">
        <f>IFERROR(VLOOKUP($C70,学費計算!$C:$R,学費計算!H$1,0),0)</f>
        <v>0</v>
      </c>
      <c r="Y70" s="3">
        <f>IFERROR(VLOOKUP($C70,学費計算!$C:$R,学費計算!I$1,0),0)</f>
        <v>0</v>
      </c>
      <c r="Z70" s="3">
        <f>IFERROR(VLOOKUP($C70,学費計算!$C:$R,学費計算!J$1,0),0)</f>
        <v>0</v>
      </c>
      <c r="AA70" s="3">
        <f>IFERROR(VLOOKUP($C70,学費計算!$C:$R,学費計算!K$1,0),0)</f>
        <v>0</v>
      </c>
      <c r="AB70" s="3"/>
      <c r="AC70" s="27">
        <f t="shared" ref="AC70" si="16">SUM(V70:AB70)</f>
        <v>0</v>
      </c>
      <c r="AD70" s="24">
        <f t="shared" ref="AD70" si="17">U70-AC70</f>
        <v>0</v>
      </c>
      <c r="AE70" s="5">
        <f>IF(AND($C70&gt;=0,$C70&lt;=入力!$S$36),AE$1,0)</f>
        <v>0</v>
      </c>
      <c r="AF70" s="3"/>
      <c r="AG70" s="3"/>
      <c r="AH70" s="3"/>
      <c r="AI70" s="3"/>
      <c r="AJ70" s="14"/>
      <c r="AK70" s="18">
        <f t="shared" si="9"/>
        <v>0</v>
      </c>
      <c r="AL70" s="24">
        <f t="shared" ref="AL70" si="18">AD70-AK70</f>
        <v>0</v>
      </c>
      <c r="AM70" s="25">
        <f t="shared" ref="AM70" si="19">AL70+AM69</f>
        <v>0</v>
      </c>
    </row>
    <row r="71" spans="2:39" ht="15" thickTop="1" x14ac:dyDescent="0.25">
      <c r="B71" s="35"/>
      <c r="C71" s="2"/>
      <c r="D71" s="36">
        <f t="shared" ref="D71:Q71" si="20">SUM(D6:D70)</f>
        <v>0</v>
      </c>
      <c r="E71" s="2">
        <f t="shared" si="20"/>
        <v>0</v>
      </c>
      <c r="F71" s="2">
        <f t="shared" si="20"/>
        <v>0</v>
      </c>
      <c r="G71" s="2"/>
      <c r="H71" s="2">
        <f t="shared" si="20"/>
        <v>0</v>
      </c>
      <c r="I71" s="37">
        <f t="shared" si="20"/>
        <v>0</v>
      </c>
      <c r="J71" s="38">
        <f t="shared" si="20"/>
        <v>0</v>
      </c>
      <c r="K71" s="35">
        <f t="shared" si="20"/>
        <v>0</v>
      </c>
      <c r="L71" s="2">
        <f t="shared" si="20"/>
        <v>0</v>
      </c>
      <c r="M71" s="2">
        <f t="shared" si="20"/>
        <v>0</v>
      </c>
      <c r="N71" s="2">
        <f t="shared" si="20"/>
        <v>0</v>
      </c>
      <c r="O71" s="2">
        <f t="shared" si="20"/>
        <v>0</v>
      </c>
      <c r="P71" s="2">
        <f t="shared" si="20"/>
        <v>0</v>
      </c>
      <c r="Q71" s="2">
        <f t="shared" si="20"/>
        <v>0</v>
      </c>
      <c r="R71" s="2"/>
      <c r="S71" s="2">
        <f t="shared" ref="S71:AK71" si="21">SUM(S6:S70)</f>
        <v>0</v>
      </c>
      <c r="T71" s="39">
        <f t="shared" si="21"/>
        <v>0</v>
      </c>
      <c r="U71" s="38">
        <f t="shared" si="21"/>
        <v>0</v>
      </c>
      <c r="V71" s="2">
        <f t="shared" si="21"/>
        <v>0</v>
      </c>
      <c r="W71" s="2">
        <f t="shared" si="21"/>
        <v>0</v>
      </c>
      <c r="X71" s="2">
        <f t="shared" si="21"/>
        <v>0</v>
      </c>
      <c r="Y71" s="2">
        <f t="shared" si="21"/>
        <v>0</v>
      </c>
      <c r="Z71" s="2">
        <f t="shared" si="21"/>
        <v>0</v>
      </c>
      <c r="AA71" s="2">
        <f t="shared" si="21"/>
        <v>0</v>
      </c>
      <c r="AB71" s="2">
        <f t="shared" si="21"/>
        <v>0</v>
      </c>
      <c r="AC71" s="39">
        <f t="shared" si="21"/>
        <v>0</v>
      </c>
      <c r="AD71" s="38">
        <f t="shared" si="21"/>
        <v>0</v>
      </c>
      <c r="AE71" s="35">
        <f t="shared" si="21"/>
        <v>0</v>
      </c>
      <c r="AF71" s="2">
        <f t="shared" si="21"/>
        <v>0</v>
      </c>
      <c r="AG71" s="2">
        <f t="shared" si="21"/>
        <v>0</v>
      </c>
      <c r="AH71" s="2">
        <f t="shared" si="21"/>
        <v>0</v>
      </c>
      <c r="AI71" s="2">
        <f t="shared" si="21"/>
        <v>0</v>
      </c>
      <c r="AJ71" s="37">
        <f t="shared" si="21"/>
        <v>0</v>
      </c>
      <c r="AK71" s="40">
        <f t="shared" si="21"/>
        <v>0</v>
      </c>
      <c r="AL71" s="38">
        <f>SUM(AL5:AL70)</f>
        <v>0</v>
      </c>
      <c r="AM71"/>
    </row>
    <row r="72" spans="2:39" x14ac:dyDescent="0.25">
      <c r="AM72"/>
    </row>
    <row r="73" spans="2:39" x14ac:dyDescent="0.25">
      <c r="AM73"/>
    </row>
    <row r="74" spans="2:39" x14ac:dyDescent="0.25">
      <c r="Z74" s="1">
        <f>SUMIF($C$6:$C$70,"&gt;=18",Z6:Z70)</f>
        <v>0</v>
      </c>
      <c r="AA74" s="1">
        <f>SUMIF($C$6:$C$70,"&gt;=18",AA6:AA70)</f>
        <v>0</v>
      </c>
      <c r="AM74"/>
    </row>
  </sheetData>
  <phoneticPr fontId="2"/>
  <pageMargins left="0.7" right="0.7" top="0.75" bottom="0.75" header="0.3" footer="0.3"/>
  <pageSetup paperSize="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入力</vt:lpstr>
      <vt:lpstr>サマリ</vt:lpstr>
      <vt:lpstr>→</vt:lpstr>
      <vt:lpstr>親1</vt:lpstr>
      <vt:lpstr>親2</vt:lpstr>
      <vt:lpstr>子1</vt:lpstr>
      <vt:lpstr>子2</vt:lpstr>
      <vt:lpstr>子3</vt:lpstr>
      <vt:lpstr>子4</vt:lpstr>
      <vt:lpstr>住居</vt:lpstr>
      <vt:lpstr>車_大物家電</vt:lpstr>
      <vt:lpstr>←</vt:lpstr>
      <vt:lpstr>賃金カーブ</vt:lpstr>
      <vt:lpstr>学費計算</vt:lpstr>
      <vt:lpstr>住居計算</vt:lpstr>
      <vt:lpstr>小学生～高校</vt:lpstr>
      <vt:lpstr>大学</vt:lpstr>
      <vt:lpstr>大学学費</vt:lpstr>
      <vt:lpstr>年金の税金</vt:lpstr>
      <vt:lpstr>年収と手取り</vt:lpstr>
      <vt:lpstr>変動費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2021-12-07T01:26:21Z</dcterms:created>
  <dcterms:modified xsi:type="dcterms:W3CDTF">2022-01-08T12:39:33Z</dcterms:modified>
</cp:coreProperties>
</file>